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bsavell\Desktop\"/>
    </mc:Choice>
  </mc:AlternateContent>
  <bookViews>
    <workbookView xWindow="14805" yWindow="90" windowWidth="13890" windowHeight="13410" tabRatio="959"/>
  </bookViews>
  <sheets>
    <sheet name="READ ME FIRST" sheetId="37" r:id="rId1"/>
    <sheet name="ACBL" sheetId="24" r:id="rId2"/>
    <sheet name="CIS" sheetId="8" r:id="rId3"/>
    <sheet name="ECFI" sheetId="25" r:id="rId4"/>
    <sheet name="MGMK" sheetId="26" r:id="rId5"/>
    <sheet name="COUNED" sheetId="28" r:id="rId6"/>
    <sheet name="EED" sheetId="15" r:id="rId7"/>
    <sheet name="HES" sheetId="19" r:id="rId8"/>
    <sheet name="HPER" sheetId="21" r:id="rId9"/>
    <sheet name="SECED" sheetId="30" r:id="rId10"/>
    <sheet name="AR" sheetId="5" r:id="rId11"/>
    <sheet name="BI" sheetId="6" r:id="rId12"/>
    <sheet name="CH" sheetId="7" r:id="rId13"/>
    <sheet name="CJ" sheetId="27" r:id="rId14"/>
    <sheet name="COM" sheetId="29" r:id="rId15"/>
    <sheet name="EIC" sheetId="38" r:id="rId16"/>
    <sheet name="EN" sheetId="9" r:id="rId17"/>
    <sheet name="FL" sheetId="12" r:id="rId18"/>
    <sheet name="GE" sheetId="13" r:id="rId19"/>
    <sheet name="HI" sheetId="14" r:id="rId20"/>
    <sheet name="MA" sheetId="16" r:id="rId21"/>
    <sheet name="MU" sheetId="17" r:id="rId22"/>
    <sheet name="PH" sheetId="20" r:id="rId23"/>
    <sheet name="PY" sheetId="22" r:id="rId24"/>
    <sheet name="SO" sheetId="31" r:id="rId25"/>
    <sheet name="SW" sheetId="33" r:id="rId26"/>
    <sheet name="IDS" sheetId="41" r:id="rId27"/>
    <sheet name="NU" sheetId="18" r:id="rId28"/>
    <sheet name="NEC" sheetId="36" r:id="rId29"/>
    <sheet name="Overall Summary" sheetId="34" r:id="rId30"/>
  </sheets>
  <definedNames>
    <definedName name="_AMO_UniqueIdentifier" hidden="1">"'9cf76e27-14d7-44bd-adc8-be6c75f70e80'"</definedName>
    <definedName name="_xlnm.Print_Area" localSheetId="1">ACBL!$A$1:$G$59</definedName>
    <definedName name="_xlnm.Print_Area" localSheetId="10">AR!$A$1:$G$59</definedName>
    <definedName name="_xlnm.Print_Area" localSheetId="11">BI!$A$1:$G$59</definedName>
    <definedName name="_xlnm.Print_Area" localSheetId="12">CH!$A$1:$G$59</definedName>
    <definedName name="_xlnm.Print_Area" localSheetId="2">CIS!$A$1:$G$59</definedName>
    <definedName name="_xlnm.Print_Area" localSheetId="13">CJ!$A$1:$G$60</definedName>
    <definedName name="_xlnm.Print_Area" localSheetId="14">COM!$A$1:$G$59</definedName>
    <definedName name="_xlnm.Print_Area" localSheetId="5">COUNED!$A$1:$G$59</definedName>
    <definedName name="_xlnm.Print_Area" localSheetId="3">ECFI!$A$1:$G$59</definedName>
    <definedName name="_xlnm.Print_Area" localSheetId="6">EED!$A$1:$G$59</definedName>
    <definedName name="_xlnm.Print_Area" localSheetId="15">EIC!$A$1:$G$59</definedName>
    <definedName name="_xlnm.Print_Area" localSheetId="16">EN!$A$1:$G$59</definedName>
    <definedName name="_xlnm.Print_Area" localSheetId="17">FL!$A$1:$G$59</definedName>
    <definedName name="_xlnm.Print_Area" localSheetId="18">GE!$A$1:$G$59</definedName>
    <definedName name="_xlnm.Print_Area" localSheetId="7">HES!$A$1:$G$59</definedName>
    <definedName name="_xlnm.Print_Area" localSheetId="19">HI!$A$1:$G$59</definedName>
    <definedName name="_xlnm.Print_Area" localSheetId="8">HPER!$A$1:$G$59</definedName>
    <definedName name="_xlnm.Print_Area" localSheetId="26">IDS!$A$1:$G$59</definedName>
    <definedName name="_xlnm.Print_Area" localSheetId="20">MA!$A$1:$G$59</definedName>
    <definedName name="_xlnm.Print_Area" localSheetId="4">MGMK!$A$1:$G$59</definedName>
    <definedName name="_xlnm.Print_Area" localSheetId="21">MU!$A$1:$G$60</definedName>
    <definedName name="_xlnm.Print_Area" localSheetId="28">NEC!$A$1:$G$60</definedName>
    <definedName name="_xlnm.Print_Area" localSheetId="27">NU!$A$1:$G$60</definedName>
    <definedName name="_xlnm.Print_Area" localSheetId="29">'Overall Summary'!$A$1:$G$59</definedName>
    <definedName name="_xlnm.Print_Area" localSheetId="22">PH!$A$1:$G$60</definedName>
    <definedName name="_xlnm.Print_Area" localSheetId="23">PY!$A$1:$G$60</definedName>
    <definedName name="_xlnm.Print_Area" localSheetId="0">'READ ME FIRST'!$A$1:$A$81</definedName>
    <definedName name="_xlnm.Print_Area" localSheetId="9">SECED!$A$1:$G$60</definedName>
    <definedName name="_xlnm.Print_Area" localSheetId="24">SO!$A$1:$G$60</definedName>
    <definedName name="_xlnm.Print_Area" localSheetId="25">SW!$A$1:$G$64</definedName>
    <definedName name="_xlnm.Print_Titles" localSheetId="1">ACBL!$1:$2</definedName>
    <definedName name="_xlnm.Print_Titles" localSheetId="10">AR!$1:$2</definedName>
    <definedName name="_xlnm.Print_Titles" localSheetId="11">BI!$1:$2</definedName>
    <definedName name="_xlnm.Print_Titles" localSheetId="12">CH!$1:$2</definedName>
    <definedName name="_xlnm.Print_Titles" localSheetId="2">CIS!$1:$2</definedName>
    <definedName name="_xlnm.Print_Titles" localSheetId="13">CJ!$1:$2</definedName>
    <definedName name="_xlnm.Print_Titles" localSheetId="14">COM!$1:$2</definedName>
    <definedName name="_xlnm.Print_Titles" localSheetId="5">COUNED!$1:$2</definedName>
    <definedName name="_xlnm.Print_Titles" localSheetId="3">ECFI!$1:$2</definedName>
    <definedName name="_xlnm.Print_Titles" localSheetId="6">EED!$1:$2</definedName>
    <definedName name="_xlnm.Print_Titles" localSheetId="15">EIC!$1:$2</definedName>
    <definedName name="_xlnm.Print_Titles" localSheetId="16">EN!$1:$2</definedName>
    <definedName name="_xlnm.Print_Titles" localSheetId="17">FL!$1:$2</definedName>
    <definedName name="_xlnm.Print_Titles" localSheetId="18">GE!$1:$2</definedName>
    <definedName name="_xlnm.Print_Titles" localSheetId="7">HES!$1:$2</definedName>
    <definedName name="_xlnm.Print_Titles" localSheetId="19">HI!$1:$2</definedName>
    <definedName name="_xlnm.Print_Titles" localSheetId="8">HPER!$1:$2</definedName>
    <definedName name="_xlnm.Print_Titles" localSheetId="26">IDS!$1:$2</definedName>
    <definedName name="_xlnm.Print_Titles" localSheetId="20">MA!$1:$2</definedName>
    <definedName name="_xlnm.Print_Titles" localSheetId="4">MGMK!$1:$2</definedName>
    <definedName name="_xlnm.Print_Titles" localSheetId="21">MU!$1:$2</definedName>
    <definedName name="_xlnm.Print_Titles" localSheetId="28">NEC!$1:$2</definedName>
    <definedName name="_xlnm.Print_Titles" localSheetId="27">NU!$1:$2</definedName>
    <definedName name="_xlnm.Print_Titles" localSheetId="29">'Overall Summary'!$1:$1</definedName>
    <definedName name="_xlnm.Print_Titles" localSheetId="22">PH!$1:$2</definedName>
    <definedName name="_xlnm.Print_Titles" localSheetId="23">PY!$1:$2</definedName>
    <definedName name="_xlnm.Print_Titles" localSheetId="9">SECED!$1:$2</definedName>
    <definedName name="_xlnm.Print_Titles" localSheetId="24">SO!$1:$2</definedName>
    <definedName name="_xlnm.Print_Titles" localSheetId="25">SW!$1:$1</definedName>
  </definedNames>
  <calcPr calcId="152511"/>
</workbook>
</file>

<file path=xl/calcChain.xml><?xml version="1.0" encoding="utf-8"?>
<calcChain xmlns="http://schemas.openxmlformats.org/spreadsheetml/2006/main">
  <c r="F63" i="7" l="1"/>
  <c r="F63" i="6"/>
  <c r="F63" i="5"/>
  <c r="F63" i="41" l="1"/>
  <c r="F63" i="33"/>
  <c r="F51" i="33"/>
  <c r="F47" i="33"/>
  <c r="F63" i="31"/>
  <c r="F51" i="31"/>
  <c r="F47" i="31"/>
  <c r="F63" i="22"/>
  <c r="G63" i="22" s="1"/>
  <c r="F51" i="22"/>
  <c r="F47" i="22"/>
  <c r="F63" i="27"/>
  <c r="G63" i="27" s="1"/>
  <c r="F51" i="27"/>
  <c r="F47" i="27"/>
  <c r="G63" i="5"/>
  <c r="G63" i="6"/>
  <c r="G63" i="7"/>
  <c r="G63" i="31"/>
  <c r="G63" i="33"/>
  <c r="G63" i="41"/>
  <c r="F63" i="20"/>
  <c r="G63" i="20" s="1"/>
  <c r="F63" i="17"/>
  <c r="G63" i="17" s="1"/>
  <c r="F51" i="17"/>
  <c r="F47" i="17"/>
  <c r="F63" i="16"/>
  <c r="G63" i="16" s="1"/>
  <c r="F51" i="16"/>
  <c r="F47" i="16"/>
  <c r="F63" i="14"/>
  <c r="G63" i="14" s="1"/>
  <c r="F51" i="14"/>
  <c r="F47" i="14"/>
  <c r="F63" i="13"/>
  <c r="G63" i="13" s="1"/>
  <c r="F51" i="13"/>
  <c r="F47" i="13"/>
  <c r="F63" i="12"/>
  <c r="G63" i="12" s="1"/>
  <c r="F51" i="12"/>
  <c r="F47" i="12"/>
  <c r="F63" i="9"/>
  <c r="G63" i="9" s="1"/>
  <c r="F51" i="9"/>
  <c r="F47" i="9"/>
  <c r="F63" i="38"/>
  <c r="G63" i="38" s="1"/>
  <c r="F51" i="38"/>
  <c r="F47" i="38"/>
  <c r="F63" i="29"/>
  <c r="G63" i="29" s="1"/>
  <c r="F51" i="29"/>
  <c r="F47" i="29"/>
  <c r="F51" i="7" l="1"/>
  <c r="F47" i="7"/>
  <c r="F51" i="6"/>
  <c r="F47" i="6"/>
  <c r="F51" i="5"/>
  <c r="F47" i="5"/>
  <c r="F43" i="41" l="1"/>
  <c r="E43" i="41"/>
  <c r="D43" i="41"/>
  <c r="C43" i="41"/>
  <c r="B43" i="41"/>
  <c r="G43" i="41"/>
  <c r="E42" i="41"/>
  <c r="D42" i="41"/>
  <c r="C42" i="41"/>
  <c r="B42" i="41"/>
  <c r="F42" i="41"/>
  <c r="C63" i="8" l="1"/>
  <c r="D63" i="8"/>
  <c r="E63" i="8"/>
  <c r="C63" i="25"/>
  <c r="D63" i="25"/>
  <c r="E63" i="25"/>
  <c r="C63" i="26"/>
  <c r="D63" i="26"/>
  <c r="E63" i="26"/>
  <c r="C63" i="28"/>
  <c r="D63" i="28"/>
  <c r="E63" i="28"/>
  <c r="C63" i="15"/>
  <c r="D63" i="15"/>
  <c r="E63" i="15"/>
  <c r="C63" i="19"/>
  <c r="D63" i="19"/>
  <c r="E63" i="19"/>
  <c r="C63" i="21"/>
  <c r="D63" i="21"/>
  <c r="E63" i="21"/>
  <c r="C63" i="30"/>
  <c r="D63" i="30"/>
  <c r="E63" i="30"/>
  <c r="C63" i="5"/>
  <c r="D63" i="5"/>
  <c r="E63" i="5"/>
  <c r="C63" i="6"/>
  <c r="D63" i="6"/>
  <c r="E63" i="6"/>
  <c r="C63" i="7"/>
  <c r="D63" i="7"/>
  <c r="E63" i="7"/>
  <c r="C63" i="27"/>
  <c r="D63" i="27"/>
  <c r="E63" i="27"/>
  <c r="C63" i="29"/>
  <c r="D63" i="29"/>
  <c r="E63" i="29"/>
  <c r="C63" i="38"/>
  <c r="D63" i="38"/>
  <c r="E63" i="38"/>
  <c r="C63" i="9"/>
  <c r="D63" i="9"/>
  <c r="E63" i="9"/>
  <c r="C63" i="12"/>
  <c r="D63" i="12"/>
  <c r="E63" i="12"/>
  <c r="C63" i="13"/>
  <c r="D63" i="13"/>
  <c r="E63" i="13"/>
  <c r="C63" i="14"/>
  <c r="D63" i="14"/>
  <c r="E63" i="14"/>
  <c r="C63" i="16"/>
  <c r="D63" i="16"/>
  <c r="E63" i="16"/>
  <c r="C63" i="17"/>
  <c r="D63" i="17"/>
  <c r="E63" i="17"/>
  <c r="C63" i="22"/>
  <c r="D63" i="22"/>
  <c r="E63" i="22"/>
  <c r="C63" i="31"/>
  <c r="D63" i="31"/>
  <c r="E63" i="31"/>
  <c r="C63" i="33"/>
  <c r="D63" i="33"/>
  <c r="E63" i="33"/>
  <c r="C63" i="41"/>
  <c r="D63" i="41"/>
  <c r="E63" i="41"/>
  <c r="C63" i="18"/>
  <c r="D63" i="18"/>
  <c r="E63" i="18"/>
  <c r="C63" i="36"/>
  <c r="D63" i="36"/>
  <c r="E63" i="36"/>
  <c r="C63" i="24"/>
  <c r="D63" i="24"/>
  <c r="E63" i="24"/>
  <c r="B63" i="8"/>
  <c r="B63" i="25"/>
  <c r="B63" i="26"/>
  <c r="B63" i="28"/>
  <c r="B63" i="15"/>
  <c r="B63" i="19"/>
  <c r="B63" i="21"/>
  <c r="B63" i="30"/>
  <c r="B63" i="5"/>
  <c r="B63" i="6"/>
  <c r="B63" i="7"/>
  <c r="B63" i="27"/>
  <c r="B63" i="29"/>
  <c r="B63" i="38"/>
  <c r="B63" i="9"/>
  <c r="B63" i="12"/>
  <c r="B63" i="13"/>
  <c r="B63" i="14"/>
  <c r="B63" i="16"/>
  <c r="B63" i="17"/>
  <c r="B63" i="22"/>
  <c r="B63" i="31"/>
  <c r="B63" i="33"/>
  <c r="B63" i="41"/>
  <c r="B63" i="18"/>
  <c r="B63" i="36"/>
  <c r="B63" i="24"/>
  <c r="G14" i="31" l="1"/>
  <c r="G13" i="31"/>
  <c r="G12" i="31"/>
  <c r="G11" i="31"/>
  <c r="F14" i="31"/>
  <c r="F13" i="31"/>
  <c r="G36" i="31" l="1"/>
  <c r="G36" i="29"/>
  <c r="B7" i="38"/>
  <c r="C7" i="38"/>
  <c r="B8" i="38"/>
  <c r="C8" i="38"/>
  <c r="C25" i="13"/>
  <c r="D25" i="13"/>
  <c r="B14" i="13"/>
  <c r="C14" i="13"/>
  <c r="B13" i="13"/>
  <c r="C13" i="13"/>
  <c r="E25" i="14"/>
  <c r="D25" i="14"/>
  <c r="C25" i="14"/>
  <c r="B25" i="14"/>
  <c r="F59" i="17"/>
  <c r="E59" i="17"/>
  <c r="D59" i="17"/>
  <c r="C59" i="17"/>
  <c r="B59" i="17"/>
  <c r="F59" i="41" l="1"/>
  <c r="E59" i="41"/>
  <c r="D59" i="41"/>
  <c r="C59" i="41"/>
  <c r="B59" i="41"/>
  <c r="G20" i="18" l="1"/>
  <c r="C8" i="41" l="1"/>
  <c r="B8" i="41"/>
  <c r="C7" i="41"/>
  <c r="B7" i="41"/>
  <c r="E25" i="41"/>
  <c r="D14" i="41"/>
  <c r="D13" i="41"/>
  <c r="G20" i="19"/>
  <c r="G20" i="33"/>
  <c r="G20" i="31"/>
  <c r="G20" i="22"/>
  <c r="G20" i="16"/>
  <c r="G20" i="12"/>
  <c r="G20" i="38"/>
  <c r="G20" i="29"/>
  <c r="G20" i="5"/>
  <c r="G20" i="6"/>
  <c r="G20" i="7"/>
  <c r="F30" i="36" l="1"/>
  <c r="F29" i="36"/>
  <c r="F29" i="18"/>
  <c r="B31" i="41"/>
  <c r="C31" i="41"/>
  <c r="G30" i="31"/>
  <c r="F31" i="12"/>
  <c r="G30" i="12"/>
  <c r="G29" i="6"/>
  <c r="F20" i="24" l="1"/>
  <c r="G20" i="24" s="1"/>
  <c r="E20" i="24"/>
  <c r="D20" i="24"/>
  <c r="C20" i="24"/>
  <c r="F20" i="8"/>
  <c r="G20" i="8" s="1"/>
  <c r="E20" i="8"/>
  <c r="D20" i="8"/>
  <c r="C20" i="8"/>
  <c r="F20" i="25"/>
  <c r="G20" i="25" s="1"/>
  <c r="E20" i="25"/>
  <c r="D20" i="25"/>
  <c r="C20" i="25"/>
  <c r="F20" i="26"/>
  <c r="G20" i="26" s="1"/>
  <c r="E20" i="26"/>
  <c r="D20" i="26"/>
  <c r="C20" i="26"/>
  <c r="F20" i="28"/>
  <c r="G20" i="28" s="1"/>
  <c r="E20" i="28"/>
  <c r="D20" i="28"/>
  <c r="C20" i="28"/>
  <c r="F20" i="15"/>
  <c r="G20" i="15" s="1"/>
  <c r="E20" i="15"/>
  <c r="D20" i="15"/>
  <c r="C20" i="15"/>
  <c r="F20" i="19"/>
  <c r="E20" i="19"/>
  <c r="D20" i="19"/>
  <c r="C20" i="19"/>
  <c r="F20" i="21"/>
  <c r="G20" i="21" s="1"/>
  <c r="E20" i="21"/>
  <c r="D20" i="21"/>
  <c r="C20" i="21"/>
  <c r="F20" i="30"/>
  <c r="G20" i="30" s="1"/>
  <c r="E20" i="30"/>
  <c r="D20" i="30"/>
  <c r="C20" i="30"/>
  <c r="F20" i="5"/>
  <c r="E20" i="5"/>
  <c r="D20" i="5"/>
  <c r="C20" i="5"/>
  <c r="F20" i="6"/>
  <c r="E20" i="6"/>
  <c r="D20" i="6"/>
  <c r="C20" i="6"/>
  <c r="F20" i="7"/>
  <c r="E20" i="7"/>
  <c r="D20" i="7"/>
  <c r="C20" i="7"/>
  <c r="F20" i="27"/>
  <c r="G20" i="27" s="1"/>
  <c r="E20" i="27"/>
  <c r="D20" i="27"/>
  <c r="C20" i="27"/>
  <c r="F20" i="29"/>
  <c r="E20" i="29"/>
  <c r="D20" i="29"/>
  <c r="C20" i="29"/>
  <c r="F20" i="38"/>
  <c r="E20" i="38"/>
  <c r="D20" i="38"/>
  <c r="C20" i="38"/>
  <c r="F20" i="9"/>
  <c r="G20" i="9" s="1"/>
  <c r="E20" i="9"/>
  <c r="D20" i="9"/>
  <c r="C20" i="9"/>
  <c r="F20" i="12"/>
  <c r="E20" i="12"/>
  <c r="D20" i="12"/>
  <c r="C20" i="12"/>
  <c r="F20" i="13"/>
  <c r="E20" i="13"/>
  <c r="D20" i="13"/>
  <c r="C20" i="13"/>
  <c r="F20" i="14"/>
  <c r="G20" i="14" s="1"/>
  <c r="E20" i="14"/>
  <c r="D20" i="14"/>
  <c r="C20" i="14"/>
  <c r="F20" i="16"/>
  <c r="E20" i="16"/>
  <c r="D20" i="16"/>
  <c r="C20" i="16"/>
  <c r="F20" i="17"/>
  <c r="E20" i="17"/>
  <c r="D20" i="17"/>
  <c r="C20" i="17"/>
  <c r="F20" i="20"/>
  <c r="E20" i="20"/>
  <c r="D20" i="20"/>
  <c r="C20" i="20"/>
  <c r="F20" i="22"/>
  <c r="E20" i="22"/>
  <c r="D20" i="22"/>
  <c r="C20" i="22"/>
  <c r="F20" i="31"/>
  <c r="E20" i="31"/>
  <c r="D20" i="31"/>
  <c r="C20" i="31"/>
  <c r="F20" i="33"/>
  <c r="E20" i="33"/>
  <c r="D20" i="33"/>
  <c r="C20" i="33"/>
  <c r="F20" i="41"/>
  <c r="G20" i="41" s="1"/>
  <c r="E20" i="41"/>
  <c r="D20" i="41"/>
  <c r="C20" i="41"/>
  <c r="F20" i="18"/>
  <c r="E20" i="18"/>
  <c r="D20" i="18"/>
  <c r="C20" i="18"/>
  <c r="F20" i="36"/>
  <c r="G20" i="36" s="1"/>
  <c r="E20" i="36"/>
  <c r="D20" i="36"/>
  <c r="C20" i="36"/>
  <c r="B20" i="24"/>
  <c r="B20" i="8"/>
  <c r="B20" i="25"/>
  <c r="B20" i="26"/>
  <c r="B20" i="28"/>
  <c r="B20" i="15"/>
  <c r="B20" i="19"/>
  <c r="B20" i="21"/>
  <c r="B20" i="30"/>
  <c r="B20" i="5"/>
  <c r="B20" i="6"/>
  <c r="B20" i="7"/>
  <c r="B20" i="27"/>
  <c r="B20" i="29"/>
  <c r="B20" i="38"/>
  <c r="B20" i="9"/>
  <c r="B20" i="12"/>
  <c r="B20" i="13"/>
  <c r="B20" i="14"/>
  <c r="B20" i="16"/>
  <c r="B20" i="17"/>
  <c r="B20" i="20"/>
  <c r="G20" i="20" s="1"/>
  <c r="B20" i="22"/>
  <c r="B20" i="31"/>
  <c r="B20" i="33"/>
  <c r="B20" i="41"/>
  <c r="B20" i="18"/>
  <c r="B20" i="36"/>
  <c r="G20" i="13" l="1"/>
  <c r="G20" i="17"/>
  <c r="D55" i="28"/>
  <c r="D55" i="15"/>
  <c r="D55" i="19"/>
  <c r="D55" i="21"/>
  <c r="D55" i="30"/>
  <c r="D55" i="5"/>
  <c r="D55" i="6"/>
  <c r="D55" i="7"/>
  <c r="D55" i="27"/>
  <c r="D55" i="29"/>
  <c r="D55" i="38"/>
  <c r="D55" i="9"/>
  <c r="D55" i="12"/>
  <c r="D55" i="13"/>
  <c r="D55" i="17"/>
  <c r="D55" i="20"/>
  <c r="D55" i="18"/>
  <c r="D55" i="36"/>
  <c r="C55" i="28"/>
  <c r="C55" i="15"/>
  <c r="C55" i="19"/>
  <c r="C55" i="21"/>
  <c r="C55" i="5"/>
  <c r="C55" i="6"/>
  <c r="C55" i="7"/>
  <c r="C55" i="29"/>
  <c r="C55" i="38"/>
  <c r="C55" i="12"/>
  <c r="C55" i="13"/>
  <c r="C55" i="14"/>
  <c r="C55" i="17"/>
  <c r="C55" i="20"/>
  <c r="C55" i="31"/>
  <c r="C55" i="18"/>
  <c r="C55" i="36"/>
  <c r="D30" i="8" l="1"/>
  <c r="D30" i="16"/>
  <c r="D29" i="8"/>
  <c r="D29" i="16"/>
  <c r="D29" i="31"/>
  <c r="C29" i="16"/>
  <c r="D19" i="26"/>
  <c r="C18" i="36"/>
  <c r="E6" i="18"/>
  <c r="E6" i="36"/>
  <c r="D6" i="25"/>
  <c r="D6" i="26"/>
  <c r="D6" i="30"/>
  <c r="D6" i="29"/>
  <c r="D6" i="14"/>
  <c r="E5" i="18"/>
  <c r="E5" i="36"/>
  <c r="D5" i="25"/>
  <c r="D5" i="26"/>
  <c r="D5" i="30"/>
  <c r="D5" i="29"/>
  <c r="D5" i="14"/>
  <c r="D55" i="34" l="1"/>
  <c r="C55" i="34"/>
  <c r="B55" i="34"/>
  <c r="F41" i="34"/>
  <c r="E41" i="34"/>
  <c r="D41" i="34"/>
  <c r="C41" i="34"/>
  <c r="B41" i="34"/>
  <c r="F40" i="34"/>
  <c r="E40" i="34"/>
  <c r="D40" i="34"/>
  <c r="C40" i="34"/>
  <c r="B40" i="34"/>
  <c r="G36" i="34"/>
  <c r="G35" i="34"/>
  <c r="F30" i="34"/>
  <c r="D30" i="34"/>
  <c r="C30" i="34"/>
  <c r="B30" i="34"/>
  <c r="F29" i="34"/>
  <c r="C29" i="34"/>
  <c r="B29" i="34"/>
  <c r="F19" i="34"/>
  <c r="D19" i="34"/>
  <c r="C19" i="34"/>
  <c r="B19" i="34"/>
  <c r="F18" i="34"/>
  <c r="E18" i="34"/>
  <c r="C18" i="34"/>
  <c r="B18" i="34"/>
  <c r="F12" i="34"/>
  <c r="E12" i="34"/>
  <c r="D12" i="34"/>
  <c r="C12" i="34"/>
  <c r="B12" i="34"/>
  <c r="F11" i="34"/>
  <c r="E11" i="34"/>
  <c r="D11" i="34"/>
  <c r="C11" i="34"/>
  <c r="B11" i="34"/>
  <c r="D6" i="34"/>
  <c r="C6" i="34"/>
  <c r="B6" i="34"/>
  <c r="D5" i="34"/>
  <c r="C5" i="34"/>
  <c r="B5" i="34"/>
  <c r="F43" i="36"/>
  <c r="F63" i="36" s="1"/>
  <c r="G63" i="36" s="1"/>
  <c r="E43" i="36"/>
  <c r="D43" i="36"/>
  <c r="C43" i="36"/>
  <c r="B43" i="36"/>
  <c r="F42" i="36"/>
  <c r="E42" i="36"/>
  <c r="D42" i="36"/>
  <c r="C42" i="36"/>
  <c r="B42" i="36"/>
  <c r="G41" i="36"/>
  <c r="G40" i="36"/>
  <c r="G36" i="36"/>
  <c r="G35" i="36"/>
  <c r="F31" i="36"/>
  <c r="E31" i="36"/>
  <c r="D31" i="36"/>
  <c r="C31" i="36"/>
  <c r="C59" i="36" s="1"/>
  <c r="B31" i="36"/>
  <c r="G30" i="36"/>
  <c r="G29" i="36"/>
  <c r="G19" i="36"/>
  <c r="F14" i="36"/>
  <c r="E14" i="36"/>
  <c r="D14" i="36"/>
  <c r="C14" i="36"/>
  <c r="B14" i="36"/>
  <c r="F13" i="36"/>
  <c r="F25" i="36" s="1"/>
  <c r="E13" i="36"/>
  <c r="E25" i="36" s="1"/>
  <c r="D13" i="36"/>
  <c r="D25" i="36" s="1"/>
  <c r="C13" i="36"/>
  <c r="C25" i="36" s="1"/>
  <c r="B13" i="36"/>
  <c r="B25" i="36" s="1"/>
  <c r="G12" i="36"/>
  <c r="G11" i="36"/>
  <c r="E8" i="36"/>
  <c r="D8" i="36"/>
  <c r="C8" i="36"/>
  <c r="B8" i="36"/>
  <c r="E7" i="36"/>
  <c r="E24" i="36" s="1"/>
  <c r="D7" i="36"/>
  <c r="C7" i="36"/>
  <c r="C24" i="36" s="1"/>
  <c r="B7" i="36"/>
  <c r="G5" i="36"/>
  <c r="F43" i="18"/>
  <c r="F63" i="18" s="1"/>
  <c r="G63" i="18" s="1"/>
  <c r="E43" i="18"/>
  <c r="D43" i="18"/>
  <c r="C43" i="18"/>
  <c r="B43" i="18"/>
  <c r="F42" i="18"/>
  <c r="E42" i="18"/>
  <c r="D42" i="18"/>
  <c r="C42" i="18"/>
  <c r="B42" i="18"/>
  <c r="G41" i="18"/>
  <c r="G40" i="18"/>
  <c r="G35" i="18"/>
  <c r="F31" i="18"/>
  <c r="E31" i="18"/>
  <c r="D31" i="18"/>
  <c r="C31" i="18"/>
  <c r="B31" i="18"/>
  <c r="G29" i="18"/>
  <c r="G18" i="18"/>
  <c r="E8" i="18"/>
  <c r="D8" i="18"/>
  <c r="C8" i="18"/>
  <c r="B8" i="18"/>
  <c r="E7" i="18"/>
  <c r="E24" i="18" s="1"/>
  <c r="D7" i="18"/>
  <c r="D24" i="18" s="1"/>
  <c r="C7" i="18"/>
  <c r="C24" i="18" s="1"/>
  <c r="B7" i="18"/>
  <c r="G6" i="18"/>
  <c r="G55" i="41"/>
  <c r="G42" i="41"/>
  <c r="G41" i="41"/>
  <c r="G40" i="41"/>
  <c r="G36" i="41"/>
  <c r="G35" i="41"/>
  <c r="F31" i="41"/>
  <c r="E31" i="41"/>
  <c r="D31" i="41"/>
  <c r="G30" i="41"/>
  <c r="G29" i="41"/>
  <c r="G19" i="41"/>
  <c r="G18" i="41"/>
  <c r="F14" i="41"/>
  <c r="E14" i="41"/>
  <c r="F13" i="41"/>
  <c r="F25" i="41" s="1"/>
  <c r="G25" i="41" s="1"/>
  <c r="E13" i="41"/>
  <c r="G12" i="41"/>
  <c r="G11" i="41"/>
  <c r="F8" i="41"/>
  <c r="E8" i="41"/>
  <c r="D8" i="41"/>
  <c r="F7" i="41"/>
  <c r="F24" i="41" s="1"/>
  <c r="E7" i="41"/>
  <c r="E24" i="41" s="1"/>
  <c r="D7" i="41"/>
  <c r="G6" i="41"/>
  <c r="G5" i="41"/>
  <c r="G55" i="33"/>
  <c r="F43" i="33"/>
  <c r="E43" i="33"/>
  <c r="D43" i="33"/>
  <c r="C43" i="33"/>
  <c r="B43" i="33"/>
  <c r="F42" i="33"/>
  <c r="E42" i="33"/>
  <c r="D42" i="33"/>
  <c r="C42" i="33"/>
  <c r="B42" i="33"/>
  <c r="G41" i="33"/>
  <c r="G40" i="33"/>
  <c r="G35" i="33"/>
  <c r="F31" i="33"/>
  <c r="E31" i="33"/>
  <c r="E59" i="33" s="1"/>
  <c r="D31" i="33"/>
  <c r="C31" i="33"/>
  <c r="C59" i="33" s="1"/>
  <c r="B31" i="33"/>
  <c r="G29" i="33"/>
  <c r="G18" i="33"/>
  <c r="F8" i="33"/>
  <c r="E8" i="33"/>
  <c r="D8" i="33"/>
  <c r="C8" i="33"/>
  <c r="B8" i="33"/>
  <c r="F7" i="33"/>
  <c r="F24" i="33" s="1"/>
  <c r="E7" i="33"/>
  <c r="E24" i="33" s="1"/>
  <c r="D7" i="33"/>
  <c r="D24" i="33" s="1"/>
  <c r="C7" i="33"/>
  <c r="C24" i="33" s="1"/>
  <c r="B7" i="33"/>
  <c r="G6" i="33"/>
  <c r="G5" i="33"/>
  <c r="F43" i="31"/>
  <c r="E43" i="31"/>
  <c r="D43" i="31"/>
  <c r="C43" i="31"/>
  <c r="B43" i="31"/>
  <c r="F42" i="31"/>
  <c r="E42" i="31"/>
  <c r="D42" i="31"/>
  <c r="C42" i="31"/>
  <c r="B42" i="31"/>
  <c r="G41" i="31"/>
  <c r="G40" i="31"/>
  <c r="G35" i="31"/>
  <c r="F31" i="31"/>
  <c r="D31" i="31"/>
  <c r="D59" i="31" s="1"/>
  <c r="C31" i="31"/>
  <c r="C59" i="31" s="1"/>
  <c r="B31" i="31"/>
  <c r="B59" i="31" s="1"/>
  <c r="G18" i="31"/>
  <c r="F8" i="31"/>
  <c r="E8" i="31"/>
  <c r="D8" i="31"/>
  <c r="C8" i="31"/>
  <c r="B8" i="31"/>
  <c r="F7" i="31"/>
  <c r="F24" i="31" s="1"/>
  <c r="E7" i="31"/>
  <c r="E24" i="31" s="1"/>
  <c r="D7" i="31"/>
  <c r="D24" i="31" s="1"/>
  <c r="C7" i="31"/>
  <c r="C24" i="31" s="1"/>
  <c r="B7" i="31"/>
  <c r="G6" i="31"/>
  <c r="G5" i="31"/>
  <c r="G55" i="22"/>
  <c r="F43" i="22"/>
  <c r="E43" i="22"/>
  <c r="D43" i="22"/>
  <c r="C43" i="22"/>
  <c r="B43" i="22"/>
  <c r="F42" i="22"/>
  <c r="E42" i="22"/>
  <c r="D42" i="22"/>
  <c r="C42" i="22"/>
  <c r="B42" i="22"/>
  <c r="G41" i="22"/>
  <c r="G40" i="22"/>
  <c r="G35" i="22"/>
  <c r="F31" i="22"/>
  <c r="F59" i="22" s="1"/>
  <c r="E31" i="22"/>
  <c r="D31" i="22"/>
  <c r="C31" i="22"/>
  <c r="C59" i="22" s="1"/>
  <c r="B31" i="22"/>
  <c r="G29" i="22"/>
  <c r="G18" i="22"/>
  <c r="F8" i="22"/>
  <c r="E8" i="22"/>
  <c r="D8" i="22"/>
  <c r="C8" i="22"/>
  <c r="B8" i="22"/>
  <c r="B47" i="22" s="1"/>
  <c r="F7" i="22"/>
  <c r="F24" i="22" s="1"/>
  <c r="E7" i="22"/>
  <c r="E24" i="22" s="1"/>
  <c r="D7" i="22"/>
  <c r="D24" i="22" s="1"/>
  <c r="C7" i="22"/>
  <c r="C24" i="22" s="1"/>
  <c r="B7" i="22"/>
  <c r="G6" i="22"/>
  <c r="G5" i="22"/>
  <c r="F43" i="20"/>
  <c r="E43" i="20"/>
  <c r="E63" i="20" s="1"/>
  <c r="D43" i="20"/>
  <c r="D63" i="20" s="1"/>
  <c r="C43" i="20"/>
  <c r="C63" i="20" s="1"/>
  <c r="B43" i="20"/>
  <c r="B63" i="20" s="1"/>
  <c r="F42" i="20"/>
  <c r="E42" i="20"/>
  <c r="D42" i="20"/>
  <c r="C42" i="20"/>
  <c r="B42" i="20"/>
  <c r="G41" i="20"/>
  <c r="G40" i="20"/>
  <c r="G36" i="20"/>
  <c r="G35" i="20"/>
  <c r="F31" i="20"/>
  <c r="E31" i="20"/>
  <c r="D31" i="20"/>
  <c r="C31" i="20"/>
  <c r="C59" i="20" s="1"/>
  <c r="B31" i="20"/>
  <c r="G30" i="20"/>
  <c r="G29" i="20"/>
  <c r="G18" i="20"/>
  <c r="F8" i="20"/>
  <c r="E8" i="20"/>
  <c r="D8" i="20"/>
  <c r="C8" i="20"/>
  <c r="B8" i="20"/>
  <c r="F7" i="20"/>
  <c r="F24" i="20" s="1"/>
  <c r="E7" i="20"/>
  <c r="E24" i="20" s="1"/>
  <c r="D7" i="20"/>
  <c r="D24" i="20" s="1"/>
  <c r="C7" i="20"/>
  <c r="C24" i="20" s="1"/>
  <c r="B7" i="20"/>
  <c r="G6" i="20"/>
  <c r="G5" i="20"/>
  <c r="G59" i="17"/>
  <c r="F43" i="17"/>
  <c r="E43" i="17"/>
  <c r="D43" i="17"/>
  <c r="C43" i="17"/>
  <c r="B43" i="17"/>
  <c r="F42" i="17"/>
  <c r="E42" i="17"/>
  <c r="D42" i="17"/>
  <c r="C42" i="17"/>
  <c r="B42" i="17"/>
  <c r="G41" i="17"/>
  <c r="G40" i="17"/>
  <c r="G36" i="17"/>
  <c r="G35" i="17"/>
  <c r="F31" i="17"/>
  <c r="E31" i="17"/>
  <c r="D31" i="17"/>
  <c r="C31" i="17"/>
  <c r="B31" i="17"/>
  <c r="G30" i="17"/>
  <c r="G29" i="17"/>
  <c r="G18" i="17"/>
  <c r="F8" i="17"/>
  <c r="E8" i="17"/>
  <c r="D8" i="17"/>
  <c r="C8" i="17"/>
  <c r="B8" i="17"/>
  <c r="F7" i="17"/>
  <c r="F24" i="17" s="1"/>
  <c r="E7" i="17"/>
  <c r="E24" i="17" s="1"/>
  <c r="D7" i="17"/>
  <c r="D24" i="17" s="1"/>
  <c r="C7" i="17"/>
  <c r="C24" i="17" s="1"/>
  <c r="B7" i="17"/>
  <c r="G6" i="17"/>
  <c r="G5" i="17"/>
  <c r="G55" i="16"/>
  <c r="F43" i="16"/>
  <c r="E43" i="16"/>
  <c r="D43" i="16"/>
  <c r="C43" i="16"/>
  <c r="B43" i="16"/>
  <c r="F42" i="16"/>
  <c r="E42" i="16"/>
  <c r="D42" i="16"/>
  <c r="C42" i="16"/>
  <c r="B42" i="16"/>
  <c r="G41" i="16"/>
  <c r="G40" i="16"/>
  <c r="G36" i="16"/>
  <c r="G35" i="16"/>
  <c r="F31" i="16"/>
  <c r="C31" i="16"/>
  <c r="C59" i="16" s="1"/>
  <c r="B31" i="16"/>
  <c r="B59" i="16" s="1"/>
  <c r="G18" i="16"/>
  <c r="F8" i="16"/>
  <c r="E8" i="16"/>
  <c r="D8" i="16"/>
  <c r="C8" i="16"/>
  <c r="B8" i="16"/>
  <c r="F7" i="16"/>
  <c r="F24" i="16" s="1"/>
  <c r="E7" i="16"/>
  <c r="E24" i="16" s="1"/>
  <c r="D7" i="16"/>
  <c r="D24" i="16" s="1"/>
  <c r="C7" i="16"/>
  <c r="C24" i="16" s="1"/>
  <c r="B7" i="16"/>
  <c r="G6" i="16"/>
  <c r="G5" i="16"/>
  <c r="G55" i="14"/>
  <c r="F43" i="14"/>
  <c r="E43" i="14"/>
  <c r="D43" i="14"/>
  <c r="C43" i="14"/>
  <c r="B43" i="14"/>
  <c r="F42" i="14"/>
  <c r="E42" i="14"/>
  <c r="D42" i="14"/>
  <c r="C42" i="14"/>
  <c r="B42" i="14"/>
  <c r="G41" i="14"/>
  <c r="G40" i="14"/>
  <c r="G36" i="14"/>
  <c r="G35" i="14"/>
  <c r="F31" i="14"/>
  <c r="F59" i="14" s="1"/>
  <c r="E31" i="14"/>
  <c r="D31" i="14"/>
  <c r="D59" i="14" s="1"/>
  <c r="C31" i="14"/>
  <c r="C59" i="14" s="1"/>
  <c r="B31" i="14"/>
  <c r="G30" i="14"/>
  <c r="G29" i="14"/>
  <c r="G19" i="14"/>
  <c r="G18" i="14"/>
  <c r="F14" i="14"/>
  <c r="E14" i="14"/>
  <c r="D14" i="14"/>
  <c r="C14" i="14"/>
  <c r="B14" i="14"/>
  <c r="F13" i="14"/>
  <c r="F25" i="14" s="1"/>
  <c r="G25" i="14" s="1"/>
  <c r="E13" i="14"/>
  <c r="D13" i="14"/>
  <c r="C13" i="14"/>
  <c r="B13" i="14"/>
  <c r="G12" i="14"/>
  <c r="G11" i="14"/>
  <c r="F8" i="14"/>
  <c r="D8" i="14"/>
  <c r="C8" i="14"/>
  <c r="B8" i="14"/>
  <c r="F7" i="14"/>
  <c r="F24" i="14" s="1"/>
  <c r="D7" i="14"/>
  <c r="D24" i="14" s="1"/>
  <c r="C7" i="14"/>
  <c r="C24" i="14" s="1"/>
  <c r="B7" i="14"/>
  <c r="G6" i="14"/>
  <c r="F43" i="13"/>
  <c r="E43" i="13"/>
  <c r="D43" i="13"/>
  <c r="C43" i="13"/>
  <c r="B43" i="13"/>
  <c r="F42" i="13"/>
  <c r="E42" i="13"/>
  <c r="D42" i="13"/>
  <c r="C42" i="13"/>
  <c r="B42" i="13"/>
  <c r="G41" i="13"/>
  <c r="G40" i="13"/>
  <c r="G36" i="13"/>
  <c r="G35" i="13"/>
  <c r="F31" i="13"/>
  <c r="E31" i="13"/>
  <c r="D31" i="13"/>
  <c r="D59" i="13" s="1"/>
  <c r="C31" i="13"/>
  <c r="B31" i="13"/>
  <c r="G30" i="13"/>
  <c r="G29" i="13"/>
  <c r="G19" i="13"/>
  <c r="G18" i="13"/>
  <c r="F14" i="13"/>
  <c r="E14" i="13"/>
  <c r="D14" i="13"/>
  <c r="F13" i="13"/>
  <c r="F25" i="13" s="1"/>
  <c r="E13" i="13"/>
  <c r="E25" i="13" s="1"/>
  <c r="D13" i="13"/>
  <c r="G12" i="13"/>
  <c r="G11" i="13"/>
  <c r="F8" i="13"/>
  <c r="E8" i="13"/>
  <c r="D8" i="13"/>
  <c r="C8" i="13"/>
  <c r="B8" i="13"/>
  <c r="F7" i="13"/>
  <c r="F24" i="13" s="1"/>
  <c r="E7" i="13"/>
  <c r="E24" i="13" s="1"/>
  <c r="D7" i="13"/>
  <c r="D24" i="13" s="1"/>
  <c r="C7" i="13"/>
  <c r="C24" i="13" s="1"/>
  <c r="B7" i="13"/>
  <c r="B24" i="13" s="1"/>
  <c r="G6" i="13"/>
  <c r="G5" i="13"/>
  <c r="F43" i="12"/>
  <c r="E43" i="12"/>
  <c r="D43" i="12"/>
  <c r="C43" i="12"/>
  <c r="B43" i="12"/>
  <c r="F42" i="12"/>
  <c r="E42" i="12"/>
  <c r="D42" i="12"/>
  <c r="C42" i="12"/>
  <c r="B42" i="12"/>
  <c r="G41" i="12"/>
  <c r="G40" i="12"/>
  <c r="G35" i="12"/>
  <c r="E31" i="12"/>
  <c r="D31" i="12"/>
  <c r="D59" i="12" s="1"/>
  <c r="C31" i="12"/>
  <c r="B31" i="12"/>
  <c r="B59" i="12" s="1"/>
  <c r="G29" i="12"/>
  <c r="G18" i="12"/>
  <c r="F8" i="12"/>
  <c r="E8" i="12"/>
  <c r="D8" i="12"/>
  <c r="C8" i="12"/>
  <c r="B8" i="12"/>
  <c r="F7" i="12"/>
  <c r="F24" i="12" s="1"/>
  <c r="E7" i="12"/>
  <c r="E24" i="12" s="1"/>
  <c r="D7" i="12"/>
  <c r="D24" i="12" s="1"/>
  <c r="C7" i="12"/>
  <c r="C24" i="12" s="1"/>
  <c r="B7" i="12"/>
  <c r="B24" i="12" s="1"/>
  <c r="G6" i="12"/>
  <c r="G5" i="12"/>
  <c r="F43" i="9"/>
  <c r="E43" i="9"/>
  <c r="D43" i="9"/>
  <c r="C43" i="9"/>
  <c r="B43" i="9"/>
  <c r="F42" i="9"/>
  <c r="E42" i="9"/>
  <c r="D42" i="9"/>
  <c r="C42" i="9"/>
  <c r="B42" i="9"/>
  <c r="G41" i="9"/>
  <c r="G40" i="9"/>
  <c r="G36" i="9"/>
  <c r="G35" i="9"/>
  <c r="F31" i="9"/>
  <c r="E31" i="9"/>
  <c r="D31" i="9"/>
  <c r="C31" i="9"/>
  <c r="C59" i="9" s="1"/>
  <c r="B31" i="9"/>
  <c r="B59" i="9" s="1"/>
  <c r="G30" i="9"/>
  <c r="G29" i="9"/>
  <c r="G19" i="9"/>
  <c r="G18" i="9"/>
  <c r="F14" i="9"/>
  <c r="E14" i="9"/>
  <c r="D14" i="9"/>
  <c r="C14" i="9"/>
  <c r="B14" i="9"/>
  <c r="F13" i="9"/>
  <c r="F25" i="9" s="1"/>
  <c r="E13" i="9"/>
  <c r="E25" i="9" s="1"/>
  <c r="D13" i="9"/>
  <c r="D25" i="9" s="1"/>
  <c r="C13" i="9"/>
  <c r="C25" i="9" s="1"/>
  <c r="B13" i="9"/>
  <c r="B25" i="9" s="1"/>
  <c r="G12" i="9"/>
  <c r="G11" i="9"/>
  <c r="F8" i="9"/>
  <c r="E8" i="9"/>
  <c r="D8" i="9"/>
  <c r="C8" i="9"/>
  <c r="B8" i="9"/>
  <c r="F7" i="9"/>
  <c r="F24" i="9" s="1"/>
  <c r="E7" i="9"/>
  <c r="E24" i="9" s="1"/>
  <c r="D7" i="9"/>
  <c r="D24" i="9" s="1"/>
  <c r="C7" i="9"/>
  <c r="C24" i="9" s="1"/>
  <c r="B7" i="9"/>
  <c r="B24" i="9" s="1"/>
  <c r="G6" i="9"/>
  <c r="G5" i="9"/>
  <c r="F43" i="38"/>
  <c r="E43" i="38"/>
  <c r="D43" i="38"/>
  <c r="C43" i="38"/>
  <c r="C47" i="38" s="1"/>
  <c r="B43" i="38"/>
  <c r="B47" i="38" s="1"/>
  <c r="F42" i="38"/>
  <c r="E42" i="38"/>
  <c r="D42" i="38"/>
  <c r="C42" i="38"/>
  <c r="B42" i="38"/>
  <c r="G41" i="38"/>
  <c r="G40" i="38"/>
  <c r="G35" i="38"/>
  <c r="F31" i="38"/>
  <c r="E31" i="38"/>
  <c r="D31" i="38"/>
  <c r="D59" i="38" s="1"/>
  <c r="C31" i="38"/>
  <c r="B31" i="38"/>
  <c r="B59" i="38" s="1"/>
  <c r="G29" i="38"/>
  <c r="G18" i="38"/>
  <c r="F8" i="38"/>
  <c r="E8" i="38"/>
  <c r="D8" i="38"/>
  <c r="F7" i="38"/>
  <c r="F24" i="38" s="1"/>
  <c r="E7" i="38"/>
  <c r="D7" i="38"/>
  <c r="D24" i="38" s="1"/>
  <c r="G6" i="38"/>
  <c r="G5" i="38"/>
  <c r="F43" i="29"/>
  <c r="E43" i="29"/>
  <c r="D43" i="29"/>
  <c r="C43" i="29"/>
  <c r="B43" i="29"/>
  <c r="F42" i="29"/>
  <c r="E42" i="29"/>
  <c r="D42" i="29"/>
  <c r="C42" i="29"/>
  <c r="B42" i="29"/>
  <c r="G41" i="29"/>
  <c r="G40" i="29"/>
  <c r="G35" i="29"/>
  <c r="F31" i="29"/>
  <c r="E31" i="29"/>
  <c r="D31" i="29"/>
  <c r="C31" i="29"/>
  <c r="C59" i="29" s="1"/>
  <c r="B31" i="29"/>
  <c r="G30" i="29"/>
  <c r="G29" i="29"/>
  <c r="G18" i="29"/>
  <c r="F8" i="29"/>
  <c r="D8" i="29"/>
  <c r="C8" i="29"/>
  <c r="B8" i="29"/>
  <c r="F7" i="29"/>
  <c r="F24" i="29" s="1"/>
  <c r="D7" i="29"/>
  <c r="D24" i="29" s="1"/>
  <c r="C7" i="29"/>
  <c r="C24" i="29" s="1"/>
  <c r="B7" i="29"/>
  <c r="B24" i="29" s="1"/>
  <c r="G5" i="29"/>
  <c r="F43" i="27"/>
  <c r="E43" i="27"/>
  <c r="D43" i="27"/>
  <c r="C43" i="27"/>
  <c r="B43" i="27"/>
  <c r="F42" i="27"/>
  <c r="E42" i="27"/>
  <c r="D42" i="27"/>
  <c r="C42" i="27"/>
  <c r="B42" i="27"/>
  <c r="G41" i="27"/>
  <c r="G40" i="27"/>
  <c r="G36" i="27"/>
  <c r="G35" i="27"/>
  <c r="F31" i="27"/>
  <c r="E31" i="27"/>
  <c r="D31" i="27"/>
  <c r="D59" i="27" s="1"/>
  <c r="C31" i="27"/>
  <c r="C59" i="27" s="1"/>
  <c r="B31" i="27"/>
  <c r="G30" i="27"/>
  <c r="G29" i="27"/>
  <c r="G19" i="27"/>
  <c r="G18" i="27"/>
  <c r="F14" i="27"/>
  <c r="E14" i="27"/>
  <c r="D14" i="27"/>
  <c r="C14" i="27"/>
  <c r="B14" i="27"/>
  <c r="F13" i="27"/>
  <c r="F25" i="27" s="1"/>
  <c r="E13" i="27"/>
  <c r="E25" i="27" s="1"/>
  <c r="D13" i="27"/>
  <c r="D25" i="27" s="1"/>
  <c r="C13" i="27"/>
  <c r="C25" i="27" s="1"/>
  <c r="B13" i="27"/>
  <c r="G12" i="27"/>
  <c r="G11" i="27"/>
  <c r="F8" i="27"/>
  <c r="E8" i="27"/>
  <c r="D8" i="27"/>
  <c r="C8" i="27"/>
  <c r="B8" i="27"/>
  <c r="F7" i="27"/>
  <c r="F24" i="27" s="1"/>
  <c r="E7" i="27"/>
  <c r="E24" i="27" s="1"/>
  <c r="D7" i="27"/>
  <c r="D24" i="27" s="1"/>
  <c r="C7" i="27"/>
  <c r="C24" i="27" s="1"/>
  <c r="B7" i="27"/>
  <c r="B24" i="27" s="1"/>
  <c r="G6" i="27"/>
  <c r="G5" i="27"/>
  <c r="F43" i="7"/>
  <c r="E43" i="7"/>
  <c r="D43" i="7"/>
  <c r="C43" i="7"/>
  <c r="B43" i="7"/>
  <c r="F42" i="7"/>
  <c r="E42" i="7"/>
  <c r="D42" i="7"/>
  <c r="C42" i="7"/>
  <c r="B42" i="7"/>
  <c r="G41" i="7"/>
  <c r="G40" i="7"/>
  <c r="G35" i="7"/>
  <c r="F31" i="7"/>
  <c r="E31" i="7"/>
  <c r="D31" i="7"/>
  <c r="C31" i="7"/>
  <c r="B31" i="7"/>
  <c r="G30" i="7"/>
  <c r="G29" i="7"/>
  <c r="G18" i="7"/>
  <c r="F8" i="7"/>
  <c r="E8" i="7"/>
  <c r="D8" i="7"/>
  <c r="C8" i="7"/>
  <c r="B8" i="7"/>
  <c r="F7" i="7"/>
  <c r="F24" i="7" s="1"/>
  <c r="E7" i="7"/>
  <c r="E24" i="7" s="1"/>
  <c r="D7" i="7"/>
  <c r="D24" i="7" s="1"/>
  <c r="C7" i="7"/>
  <c r="C24" i="7" s="1"/>
  <c r="B7" i="7"/>
  <c r="G6" i="7"/>
  <c r="G5" i="7"/>
  <c r="F43" i="6"/>
  <c r="E43" i="6"/>
  <c r="D43" i="6"/>
  <c r="C43" i="6"/>
  <c r="B43" i="6"/>
  <c r="F42" i="6"/>
  <c r="E42" i="6"/>
  <c r="D42" i="6"/>
  <c r="C42" i="6"/>
  <c r="B42" i="6"/>
  <c r="G41" i="6"/>
  <c r="G40" i="6"/>
  <c r="G36" i="6"/>
  <c r="G35" i="6"/>
  <c r="F31" i="6"/>
  <c r="E31" i="6"/>
  <c r="D31" i="6"/>
  <c r="C31" i="6"/>
  <c r="C59" i="6" s="1"/>
  <c r="B31" i="6"/>
  <c r="G30" i="6"/>
  <c r="G18" i="6"/>
  <c r="F8" i="6"/>
  <c r="E8" i="6"/>
  <c r="D8" i="6"/>
  <c r="C8" i="6"/>
  <c r="B8" i="6"/>
  <c r="F7" i="6"/>
  <c r="F24" i="6" s="1"/>
  <c r="E7" i="6"/>
  <c r="E24" i="6" s="1"/>
  <c r="D7" i="6"/>
  <c r="D24" i="6" s="1"/>
  <c r="C7" i="6"/>
  <c r="C24" i="6" s="1"/>
  <c r="B7" i="6"/>
  <c r="G6" i="6"/>
  <c r="G5" i="6"/>
  <c r="F43" i="5"/>
  <c r="E43" i="5"/>
  <c r="D43" i="5"/>
  <c r="C43" i="5"/>
  <c r="B43" i="5"/>
  <c r="F42" i="5"/>
  <c r="E42" i="5"/>
  <c r="D42" i="5"/>
  <c r="C42" i="5"/>
  <c r="B42" i="5"/>
  <c r="G41" i="5"/>
  <c r="G40" i="5"/>
  <c r="G35" i="5"/>
  <c r="F31" i="5"/>
  <c r="E31" i="5"/>
  <c r="D31" i="5"/>
  <c r="C31" i="5"/>
  <c r="C59" i="5" s="1"/>
  <c r="B31" i="5"/>
  <c r="G30" i="5"/>
  <c r="G29" i="5"/>
  <c r="G18" i="5"/>
  <c r="F8" i="5"/>
  <c r="E8" i="5"/>
  <c r="D8" i="5"/>
  <c r="C8" i="5"/>
  <c r="B8" i="5"/>
  <c r="F7" i="5"/>
  <c r="F24" i="5" s="1"/>
  <c r="E7" i="5"/>
  <c r="D7" i="5"/>
  <c r="C7" i="5"/>
  <c r="B7" i="5"/>
  <c r="B24" i="5" s="1"/>
  <c r="G6" i="5"/>
  <c r="G5" i="5"/>
  <c r="F43" i="30"/>
  <c r="F63" i="30" s="1"/>
  <c r="G63" i="30" s="1"/>
  <c r="E43" i="30"/>
  <c r="D43" i="30"/>
  <c r="C43" i="30"/>
  <c r="B43" i="30"/>
  <c r="F42" i="30"/>
  <c r="E42" i="30"/>
  <c r="D42" i="30"/>
  <c r="C42" i="30"/>
  <c r="B42" i="30"/>
  <c r="G41" i="30"/>
  <c r="G40" i="30"/>
  <c r="G36" i="30"/>
  <c r="G35" i="30"/>
  <c r="F31" i="30"/>
  <c r="E31" i="30"/>
  <c r="E59" i="30" s="1"/>
  <c r="D31" i="30"/>
  <c r="D59" i="30" s="1"/>
  <c r="C31" i="30"/>
  <c r="C59" i="30" s="1"/>
  <c r="B31" i="30"/>
  <c r="B59" i="30" s="1"/>
  <c r="G30" i="30"/>
  <c r="G29" i="30"/>
  <c r="G19" i="30"/>
  <c r="G18" i="30"/>
  <c r="F14" i="30"/>
  <c r="E14" i="30"/>
  <c r="D14" i="30"/>
  <c r="C14" i="30"/>
  <c r="B14" i="30"/>
  <c r="F13" i="30"/>
  <c r="F25" i="30" s="1"/>
  <c r="E13" i="30"/>
  <c r="E25" i="30" s="1"/>
  <c r="D13" i="30"/>
  <c r="D25" i="30" s="1"/>
  <c r="C13" i="30"/>
  <c r="C25" i="30" s="1"/>
  <c r="B13" i="30"/>
  <c r="B25" i="30" s="1"/>
  <c r="G12" i="30"/>
  <c r="G11" i="30"/>
  <c r="F8" i="30"/>
  <c r="D8" i="30"/>
  <c r="C8" i="30"/>
  <c r="B8" i="30"/>
  <c r="F7" i="30"/>
  <c r="F24" i="30" s="1"/>
  <c r="D7" i="30"/>
  <c r="D24" i="30" s="1"/>
  <c r="C7" i="30"/>
  <c r="C24" i="30" s="1"/>
  <c r="B7" i="30"/>
  <c r="F43" i="21"/>
  <c r="F63" i="21" s="1"/>
  <c r="G63" i="21" s="1"/>
  <c r="E43" i="21"/>
  <c r="D43" i="21"/>
  <c r="C43" i="21"/>
  <c r="B43" i="21"/>
  <c r="F42" i="21"/>
  <c r="E42" i="21"/>
  <c r="D42" i="21"/>
  <c r="C42" i="21"/>
  <c r="B42" i="21"/>
  <c r="G41" i="21"/>
  <c r="G40" i="21"/>
  <c r="G36" i="21"/>
  <c r="G35" i="21"/>
  <c r="F31" i="21"/>
  <c r="E31" i="21"/>
  <c r="D31" i="21"/>
  <c r="D59" i="21" s="1"/>
  <c r="C31" i="21"/>
  <c r="C59" i="21" s="1"/>
  <c r="B31" i="21"/>
  <c r="G30" i="21"/>
  <c r="G29" i="21"/>
  <c r="G19" i="21"/>
  <c r="G18" i="21"/>
  <c r="F14" i="21"/>
  <c r="E14" i="21"/>
  <c r="D14" i="21"/>
  <c r="C14" i="21"/>
  <c r="B14" i="21"/>
  <c r="F13" i="21"/>
  <c r="F25" i="21" s="1"/>
  <c r="E13" i="21"/>
  <c r="E25" i="21" s="1"/>
  <c r="D13" i="21"/>
  <c r="D25" i="21" s="1"/>
  <c r="C13" i="21"/>
  <c r="C25" i="21" s="1"/>
  <c r="B13" i="21"/>
  <c r="G12" i="21"/>
  <c r="G11" i="21"/>
  <c r="F8" i="21"/>
  <c r="E8" i="21"/>
  <c r="D8" i="21"/>
  <c r="C8" i="21"/>
  <c r="B8" i="21"/>
  <c r="F7" i="21"/>
  <c r="F24" i="21" s="1"/>
  <c r="E7" i="21"/>
  <c r="E24" i="21" s="1"/>
  <c r="D7" i="21"/>
  <c r="D24" i="21" s="1"/>
  <c r="C7" i="21"/>
  <c r="C24" i="21" s="1"/>
  <c r="B7" i="21"/>
  <c r="B24" i="21" s="1"/>
  <c r="G6" i="21"/>
  <c r="G5" i="21"/>
  <c r="F43" i="19"/>
  <c r="F63" i="19" s="1"/>
  <c r="G63" i="19" s="1"/>
  <c r="E43" i="19"/>
  <c r="D43" i="19"/>
  <c r="C43" i="19"/>
  <c r="B43" i="19"/>
  <c r="F42" i="19"/>
  <c r="E42" i="19"/>
  <c r="D42" i="19"/>
  <c r="C42" i="19"/>
  <c r="B42" i="19"/>
  <c r="G41" i="19"/>
  <c r="G40" i="19"/>
  <c r="G35" i="19"/>
  <c r="F31" i="19"/>
  <c r="E31" i="19"/>
  <c r="D31" i="19"/>
  <c r="D59" i="19" s="1"/>
  <c r="C31" i="19"/>
  <c r="B31" i="19"/>
  <c r="B59" i="19" s="1"/>
  <c r="G29" i="19"/>
  <c r="G18" i="19"/>
  <c r="F8" i="19"/>
  <c r="E8" i="19"/>
  <c r="D8" i="19"/>
  <c r="C8" i="19"/>
  <c r="B8" i="19"/>
  <c r="F7" i="19"/>
  <c r="F24" i="19" s="1"/>
  <c r="E7" i="19"/>
  <c r="E24" i="19" s="1"/>
  <c r="D7" i="19"/>
  <c r="D24" i="19" s="1"/>
  <c r="C7" i="19"/>
  <c r="C24" i="19" s="1"/>
  <c r="B7" i="19"/>
  <c r="B24" i="19" s="1"/>
  <c r="G6" i="19"/>
  <c r="G5" i="19"/>
  <c r="F43" i="15"/>
  <c r="F63" i="15" s="1"/>
  <c r="G63" i="15" s="1"/>
  <c r="E43" i="15"/>
  <c r="D43" i="15"/>
  <c r="C43" i="15"/>
  <c r="B43" i="15"/>
  <c r="F42" i="15"/>
  <c r="E42" i="15"/>
  <c r="D42" i="15"/>
  <c r="C42" i="15"/>
  <c r="B42" i="15"/>
  <c r="G41" i="15"/>
  <c r="G40" i="15"/>
  <c r="G36" i="15"/>
  <c r="G35" i="15"/>
  <c r="F31" i="15"/>
  <c r="E31" i="15"/>
  <c r="D31" i="15"/>
  <c r="C31" i="15"/>
  <c r="B31" i="15"/>
  <c r="B59" i="15" s="1"/>
  <c r="G30" i="15"/>
  <c r="G29" i="15"/>
  <c r="G19" i="15"/>
  <c r="G18" i="15"/>
  <c r="F14" i="15"/>
  <c r="E14" i="15"/>
  <c r="D14" i="15"/>
  <c r="C14" i="15"/>
  <c r="B14" i="15"/>
  <c r="F13" i="15"/>
  <c r="F25" i="15" s="1"/>
  <c r="E13" i="15"/>
  <c r="E25" i="15" s="1"/>
  <c r="D13" i="15"/>
  <c r="D25" i="15" s="1"/>
  <c r="C13" i="15"/>
  <c r="C25" i="15" s="1"/>
  <c r="B13" i="15"/>
  <c r="B25" i="15" s="1"/>
  <c r="G12" i="15"/>
  <c r="G11" i="15"/>
  <c r="F8" i="15"/>
  <c r="E8" i="15"/>
  <c r="D8" i="15"/>
  <c r="C8" i="15"/>
  <c r="B8" i="15"/>
  <c r="F7" i="15"/>
  <c r="F24" i="15" s="1"/>
  <c r="E7" i="15"/>
  <c r="E24" i="15" s="1"/>
  <c r="D7" i="15"/>
  <c r="D24" i="15" s="1"/>
  <c r="C7" i="15"/>
  <c r="C24" i="15" s="1"/>
  <c r="B7" i="15"/>
  <c r="B24" i="15" s="1"/>
  <c r="G6" i="15"/>
  <c r="G5" i="15"/>
  <c r="F43" i="28"/>
  <c r="F63" i="28" s="1"/>
  <c r="G63" i="28" s="1"/>
  <c r="E43" i="28"/>
  <c r="D43" i="28"/>
  <c r="C43" i="28"/>
  <c r="B43" i="28"/>
  <c r="F42" i="28"/>
  <c r="E42" i="28"/>
  <c r="D42" i="28"/>
  <c r="C42" i="28"/>
  <c r="B42" i="28"/>
  <c r="G41" i="28"/>
  <c r="G40" i="28"/>
  <c r="G36" i="28"/>
  <c r="F31" i="28"/>
  <c r="E31" i="28"/>
  <c r="D31" i="28"/>
  <c r="D59" i="28" s="1"/>
  <c r="C31" i="28"/>
  <c r="C59" i="28" s="1"/>
  <c r="B31" i="28"/>
  <c r="G30" i="28"/>
  <c r="G19" i="28"/>
  <c r="F14" i="28"/>
  <c r="E14" i="28"/>
  <c r="D14" i="28"/>
  <c r="C14" i="28"/>
  <c r="B14" i="28"/>
  <c r="F13" i="28"/>
  <c r="F25" i="28" s="1"/>
  <c r="E13" i="28"/>
  <c r="E25" i="28" s="1"/>
  <c r="D13" i="28"/>
  <c r="D25" i="28" s="1"/>
  <c r="C13" i="28"/>
  <c r="C25" i="28" s="1"/>
  <c r="B13" i="28"/>
  <c r="B25" i="28" s="1"/>
  <c r="G12" i="28"/>
  <c r="G11" i="28"/>
  <c r="G55" i="26"/>
  <c r="F43" i="26"/>
  <c r="F63" i="26" s="1"/>
  <c r="G63" i="26" s="1"/>
  <c r="E43" i="26"/>
  <c r="D43" i="26"/>
  <c r="C43" i="26"/>
  <c r="B43" i="26"/>
  <c r="F42" i="26"/>
  <c r="E42" i="26"/>
  <c r="D42" i="26"/>
  <c r="C42" i="26"/>
  <c r="B42" i="26"/>
  <c r="G41" i="26"/>
  <c r="G40" i="26"/>
  <c r="G36" i="26"/>
  <c r="G35" i="26"/>
  <c r="F31" i="26"/>
  <c r="E31" i="26"/>
  <c r="E59" i="26" s="1"/>
  <c r="D31" i="26"/>
  <c r="D59" i="26" s="1"/>
  <c r="C31" i="26"/>
  <c r="B31" i="26"/>
  <c r="G30" i="26"/>
  <c r="G29" i="26"/>
  <c r="G18" i="26"/>
  <c r="F14" i="26"/>
  <c r="E14" i="26"/>
  <c r="D14" i="26"/>
  <c r="C14" i="26"/>
  <c r="B14" i="26"/>
  <c r="F13" i="26"/>
  <c r="F25" i="26" s="1"/>
  <c r="E13" i="26"/>
  <c r="E25" i="26" s="1"/>
  <c r="D13" i="26"/>
  <c r="D25" i="26" s="1"/>
  <c r="C13" i="26"/>
  <c r="C25" i="26" s="1"/>
  <c r="B13" i="26"/>
  <c r="B25" i="26" s="1"/>
  <c r="G12" i="26"/>
  <c r="G11" i="26"/>
  <c r="F8" i="26"/>
  <c r="D8" i="26"/>
  <c r="C8" i="26"/>
  <c r="B8" i="26"/>
  <c r="F7" i="26"/>
  <c r="F24" i="26" s="1"/>
  <c r="D7" i="26"/>
  <c r="D24" i="26" s="1"/>
  <c r="C7" i="26"/>
  <c r="C24" i="26" s="1"/>
  <c r="B7" i="26"/>
  <c r="B24" i="26" s="1"/>
  <c r="G6" i="26"/>
  <c r="G5" i="26"/>
  <c r="G55" i="25"/>
  <c r="F43" i="25"/>
  <c r="F63" i="25" s="1"/>
  <c r="G63" i="25" s="1"/>
  <c r="E43" i="25"/>
  <c r="D43" i="25"/>
  <c r="C43" i="25"/>
  <c r="B43" i="25"/>
  <c r="F42" i="25"/>
  <c r="E42" i="25"/>
  <c r="D42" i="25"/>
  <c r="C42" i="25"/>
  <c r="B42" i="25"/>
  <c r="G41" i="25"/>
  <c r="G40" i="25"/>
  <c r="G36" i="25"/>
  <c r="G35" i="25"/>
  <c r="F31" i="25"/>
  <c r="E31" i="25"/>
  <c r="D31" i="25"/>
  <c r="D59" i="25" s="1"/>
  <c r="C31" i="25"/>
  <c r="C59" i="25" s="1"/>
  <c r="B31" i="25"/>
  <c r="G30" i="25"/>
  <c r="G29" i="25"/>
  <c r="G19" i="25"/>
  <c r="G18" i="25"/>
  <c r="F14" i="25"/>
  <c r="E14" i="25"/>
  <c r="D14" i="25"/>
  <c r="C14" i="25"/>
  <c r="B14" i="25"/>
  <c r="F13" i="25"/>
  <c r="F25" i="25" s="1"/>
  <c r="E13" i="25"/>
  <c r="E25" i="25" s="1"/>
  <c r="D13" i="25"/>
  <c r="D25" i="25" s="1"/>
  <c r="C13" i="25"/>
  <c r="C25" i="25" s="1"/>
  <c r="B13" i="25"/>
  <c r="B25" i="25" s="1"/>
  <c r="G12" i="25"/>
  <c r="G11" i="25"/>
  <c r="F8" i="25"/>
  <c r="D8" i="25"/>
  <c r="C8" i="25"/>
  <c r="B8" i="25"/>
  <c r="F7" i="25"/>
  <c r="F24" i="25" s="1"/>
  <c r="D7" i="25"/>
  <c r="D24" i="25" s="1"/>
  <c r="C7" i="25"/>
  <c r="C24" i="25" s="1"/>
  <c r="B7" i="25"/>
  <c r="G6" i="25"/>
  <c r="G55" i="8"/>
  <c r="F43" i="8"/>
  <c r="F63" i="8" s="1"/>
  <c r="G63" i="8" s="1"/>
  <c r="E43" i="8"/>
  <c r="D43" i="8"/>
  <c r="C43" i="8"/>
  <c r="B43" i="8"/>
  <c r="F42" i="8"/>
  <c r="E42" i="8"/>
  <c r="D42" i="8"/>
  <c r="C42" i="8"/>
  <c r="B42" i="8"/>
  <c r="G41" i="8"/>
  <c r="G40" i="8"/>
  <c r="G36" i="8"/>
  <c r="G35" i="8"/>
  <c r="F31" i="8"/>
  <c r="F59" i="8" s="1"/>
  <c r="D31" i="8"/>
  <c r="C31" i="8"/>
  <c r="C59" i="8" s="1"/>
  <c r="B31" i="8"/>
  <c r="B59" i="8" s="1"/>
  <c r="G19" i="8"/>
  <c r="G18" i="8"/>
  <c r="F14" i="8"/>
  <c r="E14" i="8"/>
  <c r="D14" i="8"/>
  <c r="C14" i="8"/>
  <c r="B14" i="8"/>
  <c r="F13" i="8"/>
  <c r="F25" i="8" s="1"/>
  <c r="E13" i="8"/>
  <c r="E25" i="8" s="1"/>
  <c r="D13" i="8"/>
  <c r="D25" i="8" s="1"/>
  <c r="C13" i="8"/>
  <c r="C25" i="8" s="1"/>
  <c r="B13" i="8"/>
  <c r="G12" i="8"/>
  <c r="G11" i="8"/>
  <c r="F8" i="8"/>
  <c r="E8" i="8"/>
  <c r="D8" i="8"/>
  <c r="C8" i="8"/>
  <c r="B8" i="8"/>
  <c r="F7" i="8"/>
  <c r="F24" i="8" s="1"/>
  <c r="E7" i="8"/>
  <c r="E24" i="8" s="1"/>
  <c r="D7" i="8"/>
  <c r="D24" i="8" s="1"/>
  <c r="C7" i="8"/>
  <c r="C24" i="8" s="1"/>
  <c r="B7" i="8"/>
  <c r="G6" i="8"/>
  <c r="G5" i="8"/>
  <c r="G55" i="24"/>
  <c r="F43" i="24"/>
  <c r="F63" i="24" s="1"/>
  <c r="G63" i="24" s="1"/>
  <c r="E43" i="24"/>
  <c r="D43" i="24"/>
  <c r="C43" i="24"/>
  <c r="B43" i="24"/>
  <c r="F42" i="24"/>
  <c r="E42" i="24"/>
  <c r="D42" i="24"/>
  <c r="C42" i="24"/>
  <c r="B42" i="24"/>
  <c r="G41" i="24"/>
  <c r="G40" i="24"/>
  <c r="G36" i="24"/>
  <c r="G35" i="24"/>
  <c r="F31" i="24"/>
  <c r="E31" i="24"/>
  <c r="D31" i="24"/>
  <c r="D59" i="24" s="1"/>
  <c r="C31" i="24"/>
  <c r="C59" i="24" s="1"/>
  <c r="B31" i="24"/>
  <c r="G30" i="24"/>
  <c r="G29" i="24"/>
  <c r="G19" i="24"/>
  <c r="G18" i="24"/>
  <c r="F14" i="24"/>
  <c r="E14" i="24"/>
  <c r="D14" i="24"/>
  <c r="C14" i="24"/>
  <c r="B14" i="24"/>
  <c r="F13" i="24"/>
  <c r="F25" i="24" s="1"/>
  <c r="E13" i="24"/>
  <c r="E25" i="24" s="1"/>
  <c r="D13" i="24"/>
  <c r="D25" i="24" s="1"/>
  <c r="C13" i="24"/>
  <c r="C25" i="24" s="1"/>
  <c r="B13" i="24"/>
  <c r="G12" i="24"/>
  <c r="G11" i="24"/>
  <c r="F8" i="24"/>
  <c r="E8" i="24"/>
  <c r="D8" i="24"/>
  <c r="C8" i="24"/>
  <c r="B8" i="24"/>
  <c r="F7" i="24"/>
  <c r="E7" i="24"/>
  <c r="D7" i="24"/>
  <c r="C7" i="24"/>
  <c r="C24" i="24" s="1"/>
  <c r="B7" i="24"/>
  <c r="B24" i="24" s="1"/>
  <c r="G6" i="24"/>
  <c r="G5" i="24"/>
  <c r="F47" i="20" l="1"/>
  <c r="F51" i="20"/>
  <c r="B20" i="34"/>
  <c r="C20" i="34"/>
  <c r="F20" i="34"/>
  <c r="C51" i="7"/>
  <c r="D51" i="6"/>
  <c r="F51" i="28"/>
  <c r="G55" i="21"/>
  <c r="E7" i="25"/>
  <c r="E24" i="25" s="1"/>
  <c r="E51" i="19"/>
  <c r="F59" i="19"/>
  <c r="E59" i="20"/>
  <c r="B51" i="12"/>
  <c r="E51" i="24"/>
  <c r="B51" i="25"/>
  <c r="F51" i="25"/>
  <c r="D51" i="25"/>
  <c r="D47" i="27"/>
  <c r="E51" i="12"/>
  <c r="G55" i="17"/>
  <c r="E51" i="20"/>
  <c r="F59" i="18"/>
  <c r="E47" i="22"/>
  <c r="F47" i="21"/>
  <c r="D47" i="12"/>
  <c r="E51" i="21"/>
  <c r="C51" i="6"/>
  <c r="G55" i="29"/>
  <c r="E51" i="9"/>
  <c r="G43" i="9"/>
  <c r="B47" i="9"/>
  <c r="E51" i="14"/>
  <c r="C51" i="14"/>
  <c r="E31" i="16"/>
  <c r="E59" i="16" s="1"/>
  <c r="D47" i="20"/>
  <c r="G43" i="30"/>
  <c r="D51" i="30"/>
  <c r="G8" i="7"/>
  <c r="E51" i="7"/>
  <c r="E51" i="27"/>
  <c r="C47" i="27"/>
  <c r="C47" i="29"/>
  <c r="D24" i="36"/>
  <c r="F47" i="15"/>
  <c r="C47" i="19"/>
  <c r="E47" i="6"/>
  <c r="F59" i="13"/>
  <c r="C47" i="18"/>
  <c r="G43" i="26"/>
  <c r="B47" i="26"/>
  <c r="G31" i="28"/>
  <c r="G30" i="16"/>
  <c r="F59" i="31"/>
  <c r="D51" i="33"/>
  <c r="D59" i="33"/>
  <c r="F8" i="18"/>
  <c r="F47" i="18" s="1"/>
  <c r="F7" i="18"/>
  <c r="F24" i="18" s="1"/>
  <c r="D47" i="8"/>
  <c r="G14" i="25"/>
  <c r="B51" i="26"/>
  <c r="B59" i="26"/>
  <c r="D51" i="26"/>
  <c r="C47" i="21"/>
  <c r="F47" i="24"/>
  <c r="C47" i="24"/>
  <c r="D51" i="8"/>
  <c r="C43" i="34"/>
  <c r="G42" i="15"/>
  <c r="C51" i="19"/>
  <c r="F51" i="21"/>
  <c r="G42" i="6"/>
  <c r="G43" i="6"/>
  <c r="E59" i="27"/>
  <c r="G25" i="13"/>
  <c r="E59" i="13"/>
  <c r="G14" i="41"/>
  <c r="E59" i="36"/>
  <c r="G11" i="34"/>
  <c r="F51" i="30"/>
  <c r="D51" i="29"/>
  <c r="G43" i="29"/>
  <c r="D47" i="14"/>
  <c r="G42" i="16"/>
  <c r="B51" i="16"/>
  <c r="G43" i="31"/>
  <c r="F59" i="15"/>
  <c r="B51" i="5"/>
  <c r="G42" i="5"/>
  <c r="E51" i="5"/>
  <c r="C47" i="7"/>
  <c r="G24" i="27"/>
  <c r="E51" i="29"/>
  <c r="G42" i="13"/>
  <c r="G42" i="14"/>
  <c r="C51" i="17"/>
  <c r="D47" i="22"/>
  <c r="E51" i="33"/>
  <c r="G43" i="36"/>
  <c r="G40" i="34"/>
  <c r="D59" i="8"/>
  <c r="B59" i="25"/>
  <c r="G8" i="41"/>
  <c r="G7" i="8"/>
  <c r="B24" i="8"/>
  <c r="G24" i="8" s="1"/>
  <c r="E47" i="8"/>
  <c r="G25" i="25"/>
  <c r="F59" i="26"/>
  <c r="F51" i="26"/>
  <c r="G25" i="15"/>
  <c r="D51" i="19"/>
  <c r="G6" i="30"/>
  <c r="E7" i="30"/>
  <c r="E24" i="30" s="1"/>
  <c r="E51" i="30"/>
  <c r="D59" i="6"/>
  <c r="B47" i="7"/>
  <c r="C59" i="7"/>
  <c r="E8" i="14"/>
  <c r="E7" i="14"/>
  <c r="E24" i="14" s="1"/>
  <c r="C47" i="17"/>
  <c r="G7" i="20"/>
  <c r="B24" i="20"/>
  <c r="G24" i="20" s="1"/>
  <c r="E47" i="20"/>
  <c r="D51" i="20"/>
  <c r="D59" i="20"/>
  <c r="G42" i="20"/>
  <c r="G43" i="20"/>
  <c r="G25" i="36"/>
  <c r="G8" i="8"/>
  <c r="F59" i="25"/>
  <c r="G25" i="26"/>
  <c r="C47" i="26"/>
  <c r="E51" i="26"/>
  <c r="G43" i="28"/>
  <c r="B47" i="28"/>
  <c r="G55" i="28"/>
  <c r="C51" i="21"/>
  <c r="G42" i="21"/>
  <c r="E59" i="21"/>
  <c r="G25" i="30"/>
  <c r="G42" i="30"/>
  <c r="F59" i="30"/>
  <c r="G59" i="30" s="1"/>
  <c r="G55" i="30"/>
  <c r="C47" i="5"/>
  <c r="D47" i="6"/>
  <c r="G47" i="7"/>
  <c r="B47" i="12"/>
  <c r="G29" i="16"/>
  <c r="E31" i="31"/>
  <c r="E51" i="31" s="1"/>
  <c r="G29" i="31"/>
  <c r="B24" i="18"/>
  <c r="C59" i="18"/>
  <c r="C51" i="18"/>
  <c r="G42" i="18"/>
  <c r="F31" i="34"/>
  <c r="D47" i="24"/>
  <c r="E51" i="25"/>
  <c r="E59" i="25"/>
  <c r="G43" i="25"/>
  <c r="E7" i="26"/>
  <c r="E24" i="26" s="1"/>
  <c r="G24" i="26" s="1"/>
  <c r="E8" i="26"/>
  <c r="E19" i="34"/>
  <c r="G19" i="26"/>
  <c r="E51" i="28"/>
  <c r="F47" i="28"/>
  <c r="E51" i="15"/>
  <c r="G43" i="15"/>
  <c r="D59" i="29"/>
  <c r="G7" i="38"/>
  <c r="G42" i="12"/>
  <c r="D51" i="36"/>
  <c r="D59" i="36"/>
  <c r="D7" i="34"/>
  <c r="G24" i="15"/>
  <c r="B51" i="15"/>
  <c r="F51" i="15"/>
  <c r="F51" i="19"/>
  <c r="D51" i="21"/>
  <c r="G43" i="21"/>
  <c r="E59" i="6"/>
  <c r="C47" i="6"/>
  <c r="B51" i="7"/>
  <c r="E47" i="7"/>
  <c r="G42" i="27"/>
  <c r="C47" i="9"/>
  <c r="C51" i="13"/>
  <c r="C59" i="13"/>
  <c r="D47" i="16"/>
  <c r="F59" i="16"/>
  <c r="G7" i="17"/>
  <c r="B24" i="17"/>
  <c r="G24" i="17" s="1"/>
  <c r="G42" i="17"/>
  <c r="D51" i="22"/>
  <c r="D59" i="22"/>
  <c r="D47" i="31"/>
  <c r="D24" i="41"/>
  <c r="G24" i="41" s="1"/>
  <c r="G7" i="41"/>
  <c r="E47" i="36"/>
  <c r="G41" i="34"/>
  <c r="C51" i="29"/>
  <c r="C51" i="38"/>
  <c r="C59" i="38"/>
  <c r="D51" i="12"/>
  <c r="F59" i="12"/>
  <c r="G13" i="13"/>
  <c r="G13" i="14"/>
  <c r="E59" i="14"/>
  <c r="D51" i="17"/>
  <c r="G43" i="17"/>
  <c r="D51" i="31"/>
  <c r="G7" i="33"/>
  <c r="E47" i="33"/>
  <c r="C47" i="33"/>
  <c r="D51" i="18"/>
  <c r="D47" i="36"/>
  <c r="E51" i="36"/>
  <c r="E51" i="38"/>
  <c r="D51" i="38"/>
  <c r="G42" i="9"/>
  <c r="C51" i="9"/>
  <c r="C51" i="12"/>
  <c r="G24" i="13"/>
  <c r="E51" i="13"/>
  <c r="D47" i="13"/>
  <c r="E51" i="17"/>
  <c r="C47" i="20"/>
  <c r="G42" i="22"/>
  <c r="E47" i="31"/>
  <c r="G13" i="41"/>
  <c r="B51" i="18"/>
  <c r="F51" i="18"/>
  <c r="E51" i="18"/>
  <c r="F51" i="36"/>
  <c r="B47" i="24"/>
  <c r="G8" i="24"/>
  <c r="B8" i="34"/>
  <c r="B31" i="34"/>
  <c r="G31" i="24"/>
  <c r="B14" i="34"/>
  <c r="G43" i="8"/>
  <c r="C51" i="8"/>
  <c r="C47" i="25"/>
  <c r="G31" i="25"/>
  <c r="B47" i="25"/>
  <c r="G14" i="26"/>
  <c r="F59" i="28"/>
  <c r="D47" i="15"/>
  <c r="D51" i="15"/>
  <c r="D59" i="15"/>
  <c r="G7" i="19"/>
  <c r="B59" i="21"/>
  <c r="G31" i="21"/>
  <c r="B51" i="21"/>
  <c r="C47" i="30"/>
  <c r="B47" i="30"/>
  <c r="G14" i="30"/>
  <c r="F47" i="30"/>
  <c r="G31" i="5"/>
  <c r="E59" i="5"/>
  <c r="G55" i="5"/>
  <c r="E55" i="34"/>
  <c r="E51" i="6"/>
  <c r="G31" i="27"/>
  <c r="B59" i="27"/>
  <c r="F59" i="27"/>
  <c r="G55" i="27"/>
  <c r="D47" i="29"/>
  <c r="G24" i="9"/>
  <c r="E59" i="9"/>
  <c r="G31" i="12"/>
  <c r="B24" i="16"/>
  <c r="G24" i="16" s="1"/>
  <c r="G7" i="16"/>
  <c r="G31" i="17"/>
  <c r="B51" i="17"/>
  <c r="F59" i="20"/>
  <c r="G55" i="20"/>
  <c r="G8" i="31"/>
  <c r="B47" i="31"/>
  <c r="G43" i="33"/>
  <c r="B7" i="34"/>
  <c r="B42" i="34"/>
  <c r="C14" i="34"/>
  <c r="G14" i="24"/>
  <c r="D24" i="24"/>
  <c r="F51" i="24"/>
  <c r="D13" i="34"/>
  <c r="D25" i="34" s="1"/>
  <c r="G14" i="8"/>
  <c r="F51" i="8"/>
  <c r="D47" i="25"/>
  <c r="G42" i="25"/>
  <c r="D47" i="26"/>
  <c r="C51" i="26"/>
  <c r="G31" i="26"/>
  <c r="C59" i="26"/>
  <c r="G25" i="28"/>
  <c r="B51" i="28"/>
  <c r="G7" i="15"/>
  <c r="E47" i="15"/>
  <c r="G8" i="19"/>
  <c r="B47" i="19"/>
  <c r="G43" i="19"/>
  <c r="G24" i="21"/>
  <c r="D47" i="21"/>
  <c r="D47" i="30"/>
  <c r="D51" i="5"/>
  <c r="B59" i="6"/>
  <c r="B51" i="6"/>
  <c r="G31" i="6"/>
  <c r="G31" i="7"/>
  <c r="G42" i="7"/>
  <c r="G7" i="27"/>
  <c r="E47" i="27"/>
  <c r="G13" i="27"/>
  <c r="B25" i="27"/>
  <c r="G25" i="27" s="1"/>
  <c r="G6" i="29"/>
  <c r="E8" i="29"/>
  <c r="B47" i="29"/>
  <c r="F59" i="38"/>
  <c r="D47" i="38"/>
  <c r="G55" i="38"/>
  <c r="E59" i="38"/>
  <c r="G7" i="9"/>
  <c r="E47" i="9"/>
  <c r="G25" i="9"/>
  <c r="G8" i="12"/>
  <c r="C59" i="12"/>
  <c r="G14" i="13"/>
  <c r="G43" i="14"/>
  <c r="D47" i="17"/>
  <c r="B24" i="22"/>
  <c r="G24" i="22" s="1"/>
  <c r="G7" i="22"/>
  <c r="G8" i="33"/>
  <c r="B47" i="33"/>
  <c r="G31" i="41"/>
  <c r="G59" i="41"/>
  <c r="D47" i="18"/>
  <c r="E59" i="18"/>
  <c r="G55" i="18"/>
  <c r="F7" i="36"/>
  <c r="F24" i="36" s="1"/>
  <c r="G6" i="36"/>
  <c r="B59" i="36"/>
  <c r="B51" i="36"/>
  <c r="G31" i="36"/>
  <c r="B13" i="34"/>
  <c r="E13" i="34"/>
  <c r="D14" i="34"/>
  <c r="C42" i="34"/>
  <c r="G42" i="24"/>
  <c r="E43" i="34"/>
  <c r="F59" i="24"/>
  <c r="D8" i="34"/>
  <c r="E29" i="34"/>
  <c r="E31" i="8"/>
  <c r="G31" i="8" s="1"/>
  <c r="G42" i="8"/>
  <c r="F42" i="34"/>
  <c r="G7" i="25"/>
  <c r="F47" i="25"/>
  <c r="G42" i="26"/>
  <c r="G13" i="28"/>
  <c r="E47" i="28"/>
  <c r="G13" i="15"/>
  <c r="E47" i="19"/>
  <c r="G7" i="21"/>
  <c r="E47" i="21"/>
  <c r="G13" i="21"/>
  <c r="B25" i="21"/>
  <c r="G25" i="21" s="1"/>
  <c r="G7" i="5"/>
  <c r="E47" i="5"/>
  <c r="C24" i="5"/>
  <c r="C51" i="5"/>
  <c r="G7" i="6"/>
  <c r="F59" i="6"/>
  <c r="G55" i="6"/>
  <c r="D47" i="7"/>
  <c r="D51" i="7"/>
  <c r="F59" i="7"/>
  <c r="G8" i="27"/>
  <c r="G14" i="27"/>
  <c r="D51" i="27"/>
  <c r="B51" i="27"/>
  <c r="B59" i="29"/>
  <c r="G31" i="29"/>
  <c r="B51" i="29"/>
  <c r="G31" i="38"/>
  <c r="G42" i="38"/>
  <c r="B51" i="38"/>
  <c r="G13" i="9"/>
  <c r="F59" i="9"/>
  <c r="G55" i="9"/>
  <c r="G7" i="13"/>
  <c r="B47" i="13"/>
  <c r="D51" i="13"/>
  <c r="G55" i="13"/>
  <c r="B51" i="14"/>
  <c r="B59" i="14"/>
  <c r="G31" i="14"/>
  <c r="G8" i="16"/>
  <c r="G43" i="16"/>
  <c r="C51" i="16"/>
  <c r="B59" i="20"/>
  <c r="B51" i="20"/>
  <c r="G31" i="20"/>
  <c r="C51" i="22"/>
  <c r="C47" i="22"/>
  <c r="G43" i="22"/>
  <c r="B51" i="33"/>
  <c r="B59" i="33"/>
  <c r="G31" i="33"/>
  <c r="F59" i="33"/>
  <c r="G42" i="33"/>
  <c r="G13" i="36"/>
  <c r="C7" i="34"/>
  <c r="C24" i="34" s="1"/>
  <c r="G7" i="24"/>
  <c r="E47" i="24"/>
  <c r="G13" i="24"/>
  <c r="F13" i="34"/>
  <c r="F25" i="34" s="1"/>
  <c r="E14" i="34"/>
  <c r="B25" i="24"/>
  <c r="G25" i="24" s="1"/>
  <c r="E59" i="24"/>
  <c r="D42" i="34"/>
  <c r="B43" i="34"/>
  <c r="G43" i="24"/>
  <c r="F43" i="34"/>
  <c r="B51" i="24"/>
  <c r="B59" i="24"/>
  <c r="G13" i="8"/>
  <c r="G29" i="8"/>
  <c r="B51" i="8"/>
  <c r="E5" i="34"/>
  <c r="G5" i="34" s="1"/>
  <c r="E8" i="25"/>
  <c r="G8" i="25" s="1"/>
  <c r="G5" i="25"/>
  <c r="C13" i="34"/>
  <c r="C25" i="34" s="1"/>
  <c r="G13" i="25"/>
  <c r="B24" i="25"/>
  <c r="C51" i="25"/>
  <c r="F47" i="26"/>
  <c r="D51" i="28"/>
  <c r="D47" i="28"/>
  <c r="B59" i="28"/>
  <c r="G8" i="15"/>
  <c r="C47" i="15"/>
  <c r="G14" i="15"/>
  <c r="C51" i="15"/>
  <c r="G31" i="15"/>
  <c r="B47" i="15"/>
  <c r="C59" i="15"/>
  <c r="G24" i="19"/>
  <c r="B51" i="19"/>
  <c r="G31" i="19"/>
  <c r="G42" i="19"/>
  <c r="F47" i="19"/>
  <c r="G14" i="21"/>
  <c r="B47" i="21"/>
  <c r="E8" i="30"/>
  <c r="G8" i="30" s="1"/>
  <c r="G5" i="30"/>
  <c r="G13" i="30"/>
  <c r="B24" i="30"/>
  <c r="C51" i="30"/>
  <c r="G31" i="30"/>
  <c r="D24" i="5"/>
  <c r="G8" i="5"/>
  <c r="G43" i="5"/>
  <c r="B47" i="5"/>
  <c r="D59" i="5"/>
  <c r="B47" i="6"/>
  <c r="G8" i="6"/>
  <c r="B24" i="7"/>
  <c r="G24" i="7" s="1"/>
  <c r="G7" i="7"/>
  <c r="G43" i="7"/>
  <c r="B59" i="7"/>
  <c r="B47" i="27"/>
  <c r="G42" i="29"/>
  <c r="E59" i="29"/>
  <c r="E47" i="38"/>
  <c r="G8" i="38"/>
  <c r="E24" i="38"/>
  <c r="G24" i="38" s="1"/>
  <c r="G43" i="38"/>
  <c r="G8" i="9"/>
  <c r="G14" i="9"/>
  <c r="D51" i="9"/>
  <c r="D59" i="9"/>
  <c r="G24" i="12"/>
  <c r="C47" i="12"/>
  <c r="G55" i="12"/>
  <c r="E59" i="12"/>
  <c r="C47" i="13"/>
  <c r="G8" i="13"/>
  <c r="G43" i="13"/>
  <c r="C47" i="14"/>
  <c r="G14" i="14"/>
  <c r="C47" i="16"/>
  <c r="B47" i="17"/>
  <c r="E59" i="22"/>
  <c r="E51" i="22"/>
  <c r="G7" i="31"/>
  <c r="C51" i="31"/>
  <c r="G43" i="18"/>
  <c r="D59" i="18"/>
  <c r="C47" i="36"/>
  <c r="G42" i="36"/>
  <c r="F59" i="36"/>
  <c r="G55" i="36"/>
  <c r="F14" i="34"/>
  <c r="G31" i="22"/>
  <c r="B51" i="22"/>
  <c r="B51" i="31"/>
  <c r="E47" i="18"/>
  <c r="G14" i="36"/>
  <c r="F5" i="34"/>
  <c r="C8" i="34"/>
  <c r="E24" i="24"/>
  <c r="C31" i="34"/>
  <c r="E42" i="34"/>
  <c r="C51" i="24"/>
  <c r="B25" i="8"/>
  <c r="G25" i="8" s="1"/>
  <c r="E30" i="34"/>
  <c r="G30" i="34" s="1"/>
  <c r="B47" i="8"/>
  <c r="F47" i="8"/>
  <c r="C47" i="28"/>
  <c r="G14" i="28"/>
  <c r="G42" i="28"/>
  <c r="C51" i="28"/>
  <c r="E59" i="15"/>
  <c r="G55" i="15"/>
  <c r="C59" i="19"/>
  <c r="G8" i="21"/>
  <c r="E24" i="5"/>
  <c r="F59" i="5"/>
  <c r="B24" i="6"/>
  <c r="G24" i="6" s="1"/>
  <c r="E59" i="7"/>
  <c r="G55" i="7"/>
  <c r="D59" i="7"/>
  <c r="G7" i="12"/>
  <c r="E47" i="12"/>
  <c r="B59" i="13"/>
  <c r="G31" i="13"/>
  <c r="B24" i="14"/>
  <c r="D29" i="34"/>
  <c r="D31" i="16"/>
  <c r="E47" i="16"/>
  <c r="E47" i="17"/>
  <c r="G8" i="22"/>
  <c r="B24" i="31"/>
  <c r="G24" i="31" s="1"/>
  <c r="G42" i="31"/>
  <c r="G55" i="31"/>
  <c r="D47" i="33"/>
  <c r="B24" i="33"/>
  <c r="G24" i="33" s="1"/>
  <c r="C51" i="33"/>
  <c r="G5" i="18"/>
  <c r="B59" i="18"/>
  <c r="B24" i="36"/>
  <c r="E6" i="34"/>
  <c r="G6" i="34" s="1"/>
  <c r="F24" i="24"/>
  <c r="D43" i="34"/>
  <c r="D51" i="24"/>
  <c r="G30" i="8"/>
  <c r="C47" i="8"/>
  <c r="G13" i="26"/>
  <c r="E59" i="28"/>
  <c r="D47" i="19"/>
  <c r="E59" i="19"/>
  <c r="G55" i="19"/>
  <c r="F59" i="21"/>
  <c r="D47" i="5"/>
  <c r="B59" i="5"/>
  <c r="G43" i="27"/>
  <c r="E7" i="29"/>
  <c r="E24" i="29" s="1"/>
  <c r="G24" i="29" s="1"/>
  <c r="F59" i="29"/>
  <c r="D47" i="9"/>
  <c r="G31" i="9"/>
  <c r="G43" i="12"/>
  <c r="E47" i="13"/>
  <c r="B51" i="13"/>
  <c r="G5" i="14"/>
  <c r="B47" i="16"/>
  <c r="G8" i="17"/>
  <c r="B47" i="20"/>
  <c r="G8" i="20"/>
  <c r="C51" i="20"/>
  <c r="B59" i="22"/>
  <c r="G31" i="18"/>
  <c r="B47" i="18"/>
  <c r="B47" i="36"/>
  <c r="F8" i="36"/>
  <c r="G18" i="36"/>
  <c r="C51" i="36"/>
  <c r="F6" i="34"/>
  <c r="G12" i="34"/>
  <c r="D18" i="34"/>
  <c r="D20" i="34" s="1"/>
  <c r="B51" i="30"/>
  <c r="C51" i="27"/>
  <c r="B51" i="9"/>
  <c r="B47" i="14"/>
  <c r="D51" i="14"/>
  <c r="C47" i="31"/>
  <c r="F55" i="34"/>
  <c r="G19" i="34" l="1"/>
  <c r="E20" i="34"/>
  <c r="G24" i="25"/>
  <c r="G7" i="18"/>
  <c r="G51" i="12"/>
  <c r="D24" i="34"/>
  <c r="G31" i="31"/>
  <c r="G51" i="29"/>
  <c r="G59" i="25"/>
  <c r="C51" i="34"/>
  <c r="G47" i="6"/>
  <c r="E47" i="14"/>
  <c r="G47" i="14" s="1"/>
  <c r="G24" i="18"/>
  <c r="F59" i="34"/>
  <c r="G51" i="22"/>
  <c r="G51" i="21"/>
  <c r="E59" i="31"/>
  <c r="G59" i="31" s="1"/>
  <c r="G59" i="19"/>
  <c r="F51" i="34"/>
  <c r="E51" i="16"/>
  <c r="E25" i="34"/>
  <c r="G51" i="26"/>
  <c r="G51" i="19"/>
  <c r="G59" i="33"/>
  <c r="G51" i="13"/>
  <c r="G47" i="9"/>
  <c r="G51" i="33"/>
  <c r="G59" i="22"/>
  <c r="G59" i="18"/>
  <c r="G59" i="13"/>
  <c r="G8" i="14"/>
  <c r="G51" i="7"/>
  <c r="G59" i="38"/>
  <c r="G59" i="26"/>
  <c r="G8" i="18"/>
  <c r="G29" i="34"/>
  <c r="G47" i="27"/>
  <c r="G47" i="5"/>
  <c r="G47" i="21"/>
  <c r="G47" i="15"/>
  <c r="G47" i="22"/>
  <c r="G51" i="20"/>
  <c r="G51" i="5"/>
  <c r="G59" i="9"/>
  <c r="G51" i="38"/>
  <c r="G47" i="33"/>
  <c r="G51" i="9"/>
  <c r="G8" i="26"/>
  <c r="G24" i="14"/>
  <c r="G47" i="28"/>
  <c r="C47" i="34"/>
  <c r="G24" i="30"/>
  <c r="G59" i="20"/>
  <c r="G59" i="14"/>
  <c r="E47" i="26"/>
  <c r="G47" i="26" s="1"/>
  <c r="G51" i="36"/>
  <c r="G59" i="12"/>
  <c r="G24" i="24"/>
  <c r="G51" i="18"/>
  <c r="G47" i="20"/>
  <c r="G51" i="25"/>
  <c r="G59" i="24"/>
  <c r="G43" i="34"/>
  <c r="G51" i="27"/>
  <c r="G7" i="30"/>
  <c r="G7" i="14"/>
  <c r="G47" i="38"/>
  <c r="G51" i="6"/>
  <c r="G51" i="28"/>
  <c r="G7" i="26"/>
  <c r="F47" i="36"/>
  <c r="G47" i="36" s="1"/>
  <c r="G8" i="36"/>
  <c r="D51" i="16"/>
  <c r="D59" i="16"/>
  <c r="G59" i="16" s="1"/>
  <c r="E47" i="29"/>
  <c r="G47" i="29" s="1"/>
  <c r="G31" i="16"/>
  <c r="G55" i="34"/>
  <c r="B51" i="34"/>
  <c r="B59" i="34"/>
  <c r="G47" i="8"/>
  <c r="G59" i="7"/>
  <c r="G51" i="24"/>
  <c r="E8" i="34"/>
  <c r="E47" i="34" s="1"/>
  <c r="F8" i="34"/>
  <c r="F47" i="34" s="1"/>
  <c r="G59" i="6"/>
  <c r="G42" i="34"/>
  <c r="G51" i="17"/>
  <c r="G59" i="27"/>
  <c r="G59" i="21"/>
  <c r="G14" i="34"/>
  <c r="G47" i="24"/>
  <c r="G47" i="18"/>
  <c r="G47" i="16"/>
  <c r="G8" i="29"/>
  <c r="G59" i="5"/>
  <c r="G7" i="36"/>
  <c r="G47" i="17"/>
  <c r="G47" i="12"/>
  <c r="E47" i="30"/>
  <c r="G47" i="30" s="1"/>
  <c r="G51" i="15"/>
  <c r="G59" i="28"/>
  <c r="E47" i="25"/>
  <c r="G47" i="25" s="1"/>
  <c r="G51" i="14"/>
  <c r="G47" i="13"/>
  <c r="G59" i="29"/>
  <c r="E51" i="8"/>
  <c r="G51" i="8" s="1"/>
  <c r="E59" i="8"/>
  <c r="G59" i="8" s="1"/>
  <c r="D47" i="34"/>
  <c r="F7" i="34"/>
  <c r="F24" i="34" s="1"/>
  <c r="C59" i="34"/>
  <c r="G59" i="36"/>
  <c r="G47" i="19"/>
  <c r="G18" i="34"/>
  <c r="B47" i="34"/>
  <c r="G51" i="30"/>
  <c r="D31" i="34"/>
  <c r="G24" i="36"/>
  <c r="E7" i="34"/>
  <c r="E24" i="34" s="1"/>
  <c r="G51" i="31"/>
  <c r="G59" i="15"/>
  <c r="E31" i="34"/>
  <c r="E51" i="34" s="1"/>
  <c r="G7" i="29"/>
  <c r="G24" i="5"/>
  <c r="B25" i="34"/>
  <c r="G13" i="34"/>
  <c r="B24" i="34"/>
  <c r="G47" i="31"/>
  <c r="G20" i="34" l="1"/>
  <c r="G25" i="34"/>
  <c r="G31" i="34"/>
  <c r="E59" i="34"/>
  <c r="G51" i="16"/>
  <c r="G24" i="34"/>
  <c r="G47" i="34"/>
  <c r="G7" i="34"/>
  <c r="G8" i="34"/>
  <c r="D51" i="34"/>
  <c r="G51" i="34" s="1"/>
  <c r="D59" i="34"/>
  <c r="G59" i="34" l="1"/>
</calcChain>
</file>

<file path=xl/comments1.xml><?xml version="1.0" encoding="utf-8"?>
<comments xmlns="http://schemas.openxmlformats.org/spreadsheetml/2006/main">
  <authors>
    <author>UNA</author>
  </authors>
  <commentList>
    <comment ref="G16" authorId="0" shapeId="0">
      <text>
        <r>
          <rPr>
            <b/>
            <sz val="8"/>
            <color indexed="81"/>
            <rFont val="Tahoma"/>
            <family val="2"/>
          </rPr>
          <t xml:space="preserve">
</t>
        </r>
        <r>
          <rPr>
            <sz val="8"/>
            <color indexed="81"/>
            <rFont val="Tahoma"/>
            <family val="2"/>
          </rPr>
          <t xml:space="preserve">CIPs included:
     52.0301
</t>
        </r>
        <r>
          <rPr>
            <sz val="8"/>
            <color indexed="81"/>
            <rFont val="Tahoma"/>
            <family val="2"/>
          </rPr>
          <t xml:space="preserve">
</t>
        </r>
      </text>
    </comment>
    <comment ref="G22" authorId="0" shapeId="0">
      <text>
        <r>
          <rPr>
            <sz val="8"/>
            <color indexed="81"/>
            <rFont val="Tahoma"/>
            <family val="2"/>
          </rPr>
          <t xml:space="preserve">
Ratio = # of declared majors/degrees conferred for the same fiscal year
</t>
        </r>
      </text>
    </comment>
    <comment ref="G27" authorId="0" shapeId="0">
      <text>
        <r>
          <rPr>
            <sz val="8"/>
            <color indexed="81"/>
            <rFont val="Tahoma"/>
            <family val="2"/>
          </rPr>
          <t xml:space="preserve">
Credit Hour data was obtained from census files for each semester.</t>
        </r>
      </text>
    </comment>
    <comment ref="G33" authorId="0" shapeId="0">
      <text>
        <r>
          <rPr>
            <b/>
            <sz val="8"/>
            <color indexed="81"/>
            <rFont val="Tahoma"/>
            <family val="2"/>
          </rPr>
          <t xml:space="preserve">
</t>
        </r>
        <r>
          <rPr>
            <sz val="8"/>
            <color indexed="81"/>
            <rFont val="Tahoma"/>
            <family val="2"/>
          </rPr>
          <t>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
</t>
        </r>
      </text>
    </comment>
    <comment ref="G45" authorId="0" shapeId="0">
      <text>
        <r>
          <rPr>
            <b/>
            <sz val="8"/>
            <color indexed="81"/>
            <rFont val="Tahoma"/>
            <family val="2"/>
          </rPr>
          <t xml:space="preserve">
</t>
        </r>
        <r>
          <rPr>
            <sz val="8"/>
            <color indexed="81"/>
            <rFont val="Tahoma"/>
            <family val="2"/>
          </rPr>
          <t>Ratio = # FTE Students / # of FTE Faculty</t>
        </r>
      </text>
    </comment>
    <comment ref="G49" authorId="0" shapeId="0">
      <text>
        <r>
          <rPr>
            <b/>
            <sz val="8"/>
            <color indexed="81"/>
            <rFont val="Tahoma"/>
            <family val="2"/>
          </rPr>
          <t xml:space="preserve">
</t>
        </r>
        <r>
          <rPr>
            <sz val="8"/>
            <color indexed="81"/>
            <rFont val="Tahoma"/>
            <family val="2"/>
          </rPr>
          <t>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
</t>
        </r>
      </text>
    </comment>
    <comment ref="G57" authorId="0" shapeId="0">
      <text>
        <r>
          <rPr>
            <sz val="8"/>
            <color indexed="81"/>
            <rFont val="Tahoma"/>
            <family val="2"/>
          </rPr>
          <t xml:space="preserve">
Cost per Credit Hour = Total Dept Expenditure / Total number of CHP</t>
        </r>
      </text>
    </comment>
  </commentList>
</comments>
</file>

<file path=xl/comments10.xml><?xml version="1.0" encoding="utf-8"?>
<comments xmlns="http://schemas.openxmlformats.org/spreadsheetml/2006/main">
  <authors>
    <author>UNA</author>
  </authors>
  <commentList>
    <comment ref="G16" authorId="0" shapeId="0">
      <text>
        <r>
          <rPr>
            <sz val="8"/>
            <color indexed="81"/>
            <rFont val="Tahoma"/>
            <family val="2"/>
          </rPr>
          <t xml:space="preserve">
CIPs Included:
    50.0701
    50.0702
    50.0799</t>
        </r>
      </text>
    </comment>
    <comment ref="G22" authorId="0" shapeId="0">
      <text>
        <r>
          <rPr>
            <sz val="8"/>
            <color indexed="81"/>
            <rFont val="Tahoma"/>
            <family val="2"/>
          </rPr>
          <t xml:space="preserve">
Ratio = # of declared majors/degrees conferred for the same fiscal year
</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1.xml><?xml version="1.0" encoding="utf-8"?>
<comments xmlns="http://schemas.openxmlformats.org/spreadsheetml/2006/main">
  <authors>
    <author>UNA</author>
  </authors>
  <commentList>
    <comment ref="G16" authorId="0" shapeId="0">
      <text>
        <r>
          <rPr>
            <sz val="8"/>
            <color indexed="81"/>
            <rFont val="Tahoma"/>
            <family val="2"/>
          </rPr>
          <t xml:space="preserve">
CIPs Included:
    26.0101
    26.0607
    26.1302</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2.xml><?xml version="1.0" encoding="utf-8"?>
<comments xmlns="http://schemas.openxmlformats.org/spreadsheetml/2006/main">
  <authors>
    <author>UNA</author>
  </authors>
  <commentList>
    <comment ref="G16" authorId="0" shapeId="0">
      <text>
        <r>
          <rPr>
            <sz val="8"/>
            <color indexed="81"/>
            <rFont val="Tahoma"/>
            <family val="2"/>
          </rPr>
          <t xml:space="preserve">
CIPs Included:
    40.0501
    40.9999</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3.xml><?xml version="1.0" encoding="utf-8"?>
<comments xmlns="http://schemas.openxmlformats.org/spreadsheetml/2006/main">
  <authors>
    <author>UNA</author>
  </authors>
  <commentList>
    <comment ref="G16" authorId="0" shapeId="0">
      <text>
        <r>
          <rPr>
            <sz val="8"/>
            <color indexed="81"/>
            <rFont val="Tahoma"/>
            <family val="2"/>
          </rPr>
          <t xml:space="preserve">
CIPs included:
     43.0103</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4.xml><?xml version="1.0" encoding="utf-8"?>
<comments xmlns="http://schemas.openxmlformats.org/spreadsheetml/2006/main">
  <authors>
    <author>UNA</author>
  </authors>
  <commentList>
    <comment ref="G16" authorId="0" shapeId="0">
      <text>
        <r>
          <rPr>
            <sz val="8"/>
            <color indexed="81"/>
            <rFont val="Tahoma"/>
            <family val="2"/>
          </rPr>
          <t xml:space="preserve">
CIPs included:
     09.0101
     09.0102</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5.xml><?xml version="1.0" encoding="utf-8"?>
<comments xmlns="http://schemas.openxmlformats.org/spreadsheetml/2006/main">
  <authors>
    <author>UNA</author>
  </authors>
  <commentList>
    <comment ref="G16" authorId="0" shapeId="0">
      <text>
        <r>
          <rPr>
            <sz val="8"/>
            <color indexed="81"/>
            <rFont val="Tahoma"/>
            <family val="2"/>
          </rPr>
          <t xml:space="preserve">
CIPs included:
     50.1001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6.xml><?xml version="1.0" encoding="utf-8"?>
<comments xmlns="http://schemas.openxmlformats.org/spreadsheetml/2006/main">
  <authors>
    <author>UNA</author>
  </authors>
  <commentList>
    <comment ref="G16" authorId="0" shapeId="0">
      <text>
        <r>
          <rPr>
            <sz val="8"/>
            <color indexed="81"/>
            <rFont val="Tahoma"/>
            <family val="2"/>
          </rPr>
          <t xml:space="preserve">
CIPs included:
     23.0101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7.xml><?xml version="1.0" encoding="utf-8"?>
<comments xmlns="http://schemas.openxmlformats.org/spreadsheetml/2006/main">
  <authors>
    <author>UNA</author>
  </authors>
  <commentList>
    <comment ref="G16" authorId="0" shapeId="0">
      <text>
        <r>
          <rPr>
            <sz val="8"/>
            <color indexed="81"/>
            <rFont val="Tahoma"/>
            <family val="2"/>
          </rPr>
          <t xml:space="preserve">
CIPs included:
     16.0101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8.xml><?xml version="1.0" encoding="utf-8"?>
<comments xmlns="http://schemas.openxmlformats.org/spreadsheetml/2006/main">
  <authors>
    <author>UNA</author>
  </authors>
  <commentList>
    <comment ref="G16" authorId="0" shapeId="0">
      <text>
        <r>
          <rPr>
            <sz val="8"/>
            <color indexed="81"/>
            <rFont val="Tahoma"/>
            <family val="2"/>
          </rPr>
          <t xml:space="preserve">
CIPs included:
     45.0701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19.xml><?xml version="1.0" encoding="utf-8"?>
<comments xmlns="http://schemas.openxmlformats.org/spreadsheetml/2006/main">
  <authors>
    <author>UNA</author>
  </authors>
  <commentList>
    <comment ref="G16" authorId="0" shapeId="0">
      <text>
        <r>
          <rPr>
            <sz val="8"/>
            <color indexed="81"/>
            <rFont val="Tahoma"/>
            <family val="2"/>
          </rPr>
          <t xml:space="preserve">
CIPs included:
     45.0801
     45.1001
     54.0101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xml><?xml version="1.0" encoding="utf-8"?>
<comments xmlns="http://schemas.openxmlformats.org/spreadsheetml/2006/main">
  <authors>
    <author>UNA</author>
  </authors>
  <commentList>
    <comment ref="G16" authorId="0" shapeId="0">
      <text>
        <r>
          <rPr>
            <sz val="8"/>
            <color indexed="81"/>
            <rFont val="Tahoma"/>
            <family val="2"/>
          </rPr>
          <t xml:space="preserve">
CIPs included:
     52.1201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0.xml><?xml version="1.0" encoding="utf-8"?>
<comments xmlns="http://schemas.openxmlformats.org/spreadsheetml/2006/main">
  <authors>
    <author>UNA</author>
  </authors>
  <commentList>
    <comment ref="G16" authorId="0" shapeId="0">
      <text>
        <r>
          <rPr>
            <sz val="8"/>
            <color indexed="81"/>
            <rFont val="Tahoma"/>
            <family val="2"/>
          </rPr>
          <t xml:space="preserve">
CIPs included:
     27.0101
     11.0101 </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1.xml><?xml version="1.0" encoding="utf-8"?>
<comments xmlns="http://schemas.openxmlformats.org/spreadsheetml/2006/main">
  <authors>
    <author>UNA</author>
  </authors>
  <commentList>
    <comment ref="G16" authorId="0" shapeId="0">
      <text>
        <r>
          <rPr>
            <sz val="8"/>
            <color indexed="81"/>
            <rFont val="Tahoma"/>
            <family val="2"/>
          </rPr>
          <t xml:space="preserve">
CIPs included:
     50.0901
     13.1206 (This CIP is divided between HPER and MU Ed)</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2.xml><?xml version="1.0" encoding="utf-8"?>
<comments xmlns="http://schemas.openxmlformats.org/spreadsheetml/2006/main">
  <authors>
    <author>UNA</author>
  </authors>
  <commentList>
    <comment ref="G16" authorId="0" shapeId="0">
      <text>
        <r>
          <rPr>
            <sz val="8"/>
            <color indexed="81"/>
            <rFont val="Tahoma"/>
            <family val="2"/>
          </rPr>
          <t xml:space="preserve">
CIPs included:
    40.0801
    40.0601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3.xml><?xml version="1.0" encoding="utf-8"?>
<comments xmlns="http://schemas.openxmlformats.org/spreadsheetml/2006/main">
  <authors>
    <author>UNA</author>
  </authors>
  <commentList>
    <comment ref="G16" authorId="0" shapeId="0">
      <text>
        <r>
          <rPr>
            <sz val="8"/>
            <color indexed="81"/>
            <rFont val="Tahoma"/>
            <family val="2"/>
          </rPr>
          <t xml:space="preserve">
CIPs included:
    42.0101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4.xml><?xml version="1.0" encoding="utf-8"?>
<comments xmlns="http://schemas.openxmlformats.org/spreadsheetml/2006/main">
  <authors>
    <author>UNA</author>
  </authors>
  <commentList>
    <comment ref="G16" authorId="0" shapeId="0">
      <text>
        <r>
          <rPr>
            <sz val="8"/>
            <color indexed="81"/>
            <rFont val="Tahoma"/>
            <family val="2"/>
          </rPr>
          <t xml:space="preserve">
CIPs included:
     45.1101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5.xml><?xml version="1.0" encoding="utf-8"?>
<comments xmlns="http://schemas.openxmlformats.org/spreadsheetml/2006/main">
  <authors>
    <author>UNA</author>
  </authors>
  <commentList>
    <comment ref="G16" authorId="0" shapeId="0">
      <text>
        <r>
          <rPr>
            <sz val="8"/>
            <color indexed="81"/>
            <rFont val="Tahoma"/>
            <family val="2"/>
          </rPr>
          <t xml:space="preserve">
CIPs included:
     44.0701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6.xml><?xml version="1.0" encoding="utf-8"?>
<comments xmlns="http://schemas.openxmlformats.org/spreadsheetml/2006/main">
  <authors>
    <author>UNA</author>
  </authors>
  <commentList>
    <comment ref="G16" authorId="0" shapeId="0">
      <text>
        <r>
          <rPr>
            <sz val="8"/>
            <color indexed="81"/>
            <rFont val="Tahoma"/>
            <family val="2"/>
          </rPr>
          <t xml:space="preserve">
CIPs included:
    13.1206 (This CIP is divided between HPER and MU Ed)
    31.9999</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7.xml><?xml version="1.0" encoding="utf-8"?>
<comments xmlns="http://schemas.openxmlformats.org/spreadsheetml/2006/main">
  <authors>
    <author>UNA</author>
  </authors>
  <commentList>
    <comment ref="G16" authorId="0" shapeId="0">
      <text>
        <r>
          <rPr>
            <sz val="8"/>
            <color indexed="81"/>
            <rFont val="Tahoma"/>
            <family val="2"/>
          </rPr>
          <t xml:space="preserve">
CIPs included:
     51.1601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28.xml><?xml version="1.0" encoding="utf-8"?>
<comments xmlns="http://schemas.openxmlformats.org/spreadsheetml/2006/main">
  <authors>
    <author>UNA</author>
  </authors>
  <commentList>
    <comment ref="G16" authorId="0" shapeId="0">
      <text>
        <r>
          <rPr>
            <sz val="8"/>
            <color indexed="81"/>
            <rFont val="Tahoma"/>
            <family val="2"/>
          </rPr>
          <t xml:space="preserve">
CIPs included:
     51.1601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3.xml><?xml version="1.0" encoding="utf-8"?>
<comments xmlns="http://schemas.openxmlformats.org/spreadsheetml/2006/main">
  <authors>
    <author>UNA</author>
  </authors>
  <commentList>
    <comment ref="G16" authorId="0" shapeId="0">
      <text>
        <r>
          <rPr>
            <sz val="8"/>
            <color indexed="81"/>
            <rFont val="Tahoma"/>
            <family val="2"/>
          </rPr>
          <t xml:space="preserve">
CIPs included:
     52.0601
     52.0801
</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4.xml><?xml version="1.0" encoding="utf-8"?>
<comments xmlns="http://schemas.openxmlformats.org/spreadsheetml/2006/main">
  <authors>
    <author>UNA</author>
  </authors>
  <commentList>
    <comment ref="G16" authorId="0" shapeId="0">
      <text>
        <r>
          <rPr>
            <sz val="8"/>
            <color indexed="81"/>
            <rFont val="Tahoma"/>
            <family val="2"/>
          </rPr>
          <t xml:space="preserve">
CIPs included:
     52.0201
     52.1401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5.xml><?xml version="1.0" encoding="utf-8"?>
<comments xmlns="http://schemas.openxmlformats.org/spreadsheetml/2006/main">
  <authors>
    <author>UNA</author>
  </authors>
  <commentList>
    <comment ref="G16" authorId="0" shapeId="0">
      <text>
        <r>
          <rPr>
            <sz val="8"/>
            <color indexed="81"/>
            <rFont val="Tahoma"/>
            <family val="2"/>
          </rPr>
          <t xml:space="preserve">
CIPs included:
     13.1101
     42.0601
42.2803
</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6.xml><?xml version="1.0" encoding="utf-8"?>
<comments xmlns="http://schemas.openxmlformats.org/spreadsheetml/2006/main">
  <authors>
    <author>UNA</author>
  </authors>
  <commentList>
    <comment ref="G16" authorId="0" shapeId="0">
      <text>
        <r>
          <rPr>
            <sz val="8"/>
            <color indexed="81"/>
            <rFont val="Tahoma"/>
            <family val="2"/>
          </rPr>
          <t xml:space="preserve">
CIPs included:
     13.1202
     13.1204
     13.1001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7.xml><?xml version="1.0" encoding="utf-8"?>
<comments xmlns="http://schemas.openxmlformats.org/spreadsheetml/2006/main">
  <authors>
    <author>UNA</author>
  </authors>
  <commentList>
    <comment ref="G16" authorId="0" shapeId="0">
      <text>
        <r>
          <rPr>
            <sz val="8"/>
            <color indexed="81"/>
            <rFont val="Tahoma"/>
            <family val="2"/>
          </rPr>
          <t xml:space="preserve">
CIPs included:
     19.0101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8.xml><?xml version="1.0" encoding="utf-8"?>
<comments xmlns="http://schemas.openxmlformats.org/spreadsheetml/2006/main">
  <authors>
    <author>UNA</author>
  </authors>
  <commentList>
    <comment ref="G16" authorId="0" shapeId="0">
      <text>
        <r>
          <rPr>
            <sz val="8"/>
            <color indexed="81"/>
            <rFont val="Tahoma"/>
            <family val="2"/>
          </rPr>
          <t xml:space="preserve">
CIPs included:
    13.1206 (This CIP is divided between HPER and MU Ed)
    31.9999</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comments9.xml><?xml version="1.0" encoding="utf-8"?>
<comments xmlns="http://schemas.openxmlformats.org/spreadsheetml/2006/main">
  <authors>
    <author>UNA</author>
  </authors>
  <commentList>
    <comment ref="G16" authorId="0" shapeId="0">
      <text>
        <r>
          <rPr>
            <sz val="8"/>
            <color indexed="81"/>
            <rFont val="Tahoma"/>
            <family val="2"/>
          </rPr>
          <t xml:space="preserve">
CIPs included:
     13.1205
     13.0401
     45.0101</t>
        </r>
      </text>
    </comment>
    <comment ref="G22" authorId="0" shapeId="0">
      <text>
        <r>
          <rPr>
            <sz val="8"/>
            <color indexed="81"/>
            <rFont val="Tahoma"/>
            <family val="2"/>
          </rPr>
          <t xml:space="preserve">
Ratio = # of declared majors/degrees conferred for the same fiscal year</t>
        </r>
      </text>
    </comment>
    <comment ref="G27" authorId="0" shapeId="0">
      <text>
        <r>
          <rPr>
            <sz val="8"/>
            <color indexed="81"/>
            <rFont val="Tahoma"/>
            <family val="2"/>
          </rPr>
          <t xml:space="preserve">
Credit Hour data was obtained from census files for each semester.</t>
        </r>
      </text>
    </comment>
    <comment ref="G33" authorId="0" shapeId="0">
      <text>
        <r>
          <rPr>
            <sz val="8"/>
            <color indexed="81"/>
            <rFont val="Tahoma"/>
            <family val="2"/>
          </rPr>
          <t xml:space="preserve">
Includes classes of 6 or more students.</t>
        </r>
      </text>
    </comment>
    <comment ref="G38" authorId="0" shapeId="0">
      <text>
        <r>
          <rPr>
            <sz val="8"/>
            <color indexed="81"/>
            <rFont val="Tahoma"/>
            <family val="2"/>
          </rPr>
          <t xml:space="preserve">
Faculty data provided by Office of Vice President for Academic Affairs.
FTE Faculty = FT Faculty + (PT Faculty/3) …. as per U.S. News definition</t>
        </r>
      </text>
    </comment>
    <comment ref="G45" authorId="0" shapeId="0">
      <text>
        <r>
          <rPr>
            <sz val="8"/>
            <color indexed="81"/>
            <rFont val="Tahoma"/>
            <family val="2"/>
          </rPr>
          <t xml:space="preserve">
Ratio = # FTE Students / # of FTE Faculty</t>
        </r>
      </text>
    </comment>
    <comment ref="G49" authorId="0" shapeId="0">
      <text>
        <r>
          <rPr>
            <sz val="8"/>
            <color indexed="81"/>
            <rFont val="Tahoma"/>
            <family val="2"/>
          </rPr>
          <t xml:space="preserve">
Ratio  = Total CHP / # FTE Faculty</t>
        </r>
      </text>
    </comment>
    <comment ref="G53" authorId="0" shapeId="0">
      <text>
        <r>
          <rPr>
            <sz val="8"/>
            <color indexed="81"/>
            <rFont val="Tahoma"/>
            <family val="2"/>
          </rPr>
          <t xml:space="preserve">
Actual expenditure data was provided by Office of Vice President of Financial Affairs.
Does not include Summer School.</t>
        </r>
      </text>
    </comment>
    <comment ref="G57" authorId="0" shapeId="0">
      <text>
        <r>
          <rPr>
            <sz val="8"/>
            <color indexed="81"/>
            <rFont val="Tahoma"/>
            <family val="2"/>
          </rPr>
          <t xml:space="preserve">
Cost per Credit Hour = Total Dept Expenditure / Total number of CHP</t>
        </r>
      </text>
    </comment>
  </commentList>
</comments>
</file>

<file path=xl/sharedStrings.xml><?xml version="1.0" encoding="utf-8"?>
<sst xmlns="http://schemas.openxmlformats.org/spreadsheetml/2006/main" count="3264" uniqueCount="78">
  <si>
    <t>Bachelor</t>
  </si>
  <si>
    <t>Average</t>
  </si>
  <si>
    <t>Full-Time</t>
  </si>
  <si>
    <t>Part-Time</t>
  </si>
  <si>
    <t>Total</t>
  </si>
  <si>
    <t>Master</t>
  </si>
  <si>
    <t>Ratio</t>
  </si>
  <si>
    <t>Level</t>
  </si>
  <si>
    <t>Graduate</t>
  </si>
  <si>
    <t>Faculty</t>
  </si>
  <si>
    <t>CH/Faculty</t>
  </si>
  <si>
    <t>Budget</t>
  </si>
  <si>
    <t>Cost</t>
  </si>
  <si>
    <t>DEPARTMENT:</t>
  </si>
  <si>
    <t>Art</t>
  </si>
  <si>
    <t>Biology</t>
  </si>
  <si>
    <t>English</t>
  </si>
  <si>
    <t>Music</t>
  </si>
  <si>
    <t>Psychology</t>
  </si>
  <si>
    <t>8. Credit Hours/FTE Faculty</t>
  </si>
  <si>
    <r>
      <t xml:space="preserve">7. FTE Student/FTE Faculty Ratio </t>
    </r>
    <r>
      <rPr>
        <sz val="10"/>
        <rFont val="Arial"/>
        <family val="2"/>
      </rPr>
      <t>(as per U.S. News definition)</t>
    </r>
  </si>
  <si>
    <t>2. Number of Degrees Conferred</t>
  </si>
  <si>
    <t>3. Majors/Degrees Conferred Ratio</t>
  </si>
  <si>
    <t>Chemistry &amp; Industrial Hygiene</t>
  </si>
  <si>
    <t>Communications &amp; Theatre</t>
  </si>
  <si>
    <t>History &amp; Political Science</t>
  </si>
  <si>
    <t>Counselor Education</t>
  </si>
  <si>
    <t>Economics &amp; Finance</t>
  </si>
  <si>
    <t>Elementary Education</t>
  </si>
  <si>
    <t>Human Environmental Sciences</t>
  </si>
  <si>
    <t>Management &amp; Marketing</t>
  </si>
  <si>
    <t>Mathematics &amp; Computer Science</t>
  </si>
  <si>
    <t>Physics &amp; Earth Science</t>
  </si>
  <si>
    <t>Secondary Education</t>
  </si>
  <si>
    <t>Accounting and Business Law</t>
  </si>
  <si>
    <t>Sociology</t>
  </si>
  <si>
    <t xml:space="preserve">Foreign Languages </t>
  </si>
  <si>
    <t>Geography</t>
  </si>
  <si>
    <t xml:space="preserve"> </t>
  </si>
  <si>
    <t xml:space="preserve">                                      </t>
  </si>
  <si>
    <t>Criminal Justice</t>
  </si>
  <si>
    <t>Undergrad</t>
  </si>
  <si>
    <t>10. Cost Per Credit Hour (Total Department Expenditures/Total Credit Hours)</t>
  </si>
  <si>
    <t xml:space="preserve">Social Work </t>
  </si>
  <si>
    <t>Summary of All</t>
  </si>
  <si>
    <t>9. Department Expenditures (including Actual Personnel and Non-Personnel)</t>
  </si>
  <si>
    <t>5. Average Class Size</t>
  </si>
  <si>
    <t>6. Number of Faculty (Fall Semester)</t>
  </si>
  <si>
    <t>FTE Students</t>
  </si>
  <si>
    <t>FTE Faculty</t>
  </si>
  <si>
    <t>Nursing - Online Program</t>
  </si>
  <si>
    <t>Nursing - Traditional Program</t>
  </si>
  <si>
    <t>Entertainment Industry Center</t>
  </si>
  <si>
    <t>2010-11</t>
  </si>
  <si>
    <t>Interdisciplinary Studies</t>
  </si>
  <si>
    <t>2011-12</t>
  </si>
  <si>
    <t>2011-12*</t>
  </si>
  <si>
    <t>*Computer Science moved to Computer Information Systems in 2011</t>
  </si>
  <si>
    <t>8. Credit Hours/FTE Faculty Ratio</t>
  </si>
  <si>
    <t>2012-13</t>
  </si>
  <si>
    <t>2013-14</t>
  </si>
  <si>
    <t>Computer Science and Information Systems</t>
  </si>
  <si>
    <t>Bachelor's</t>
  </si>
  <si>
    <t>Master's</t>
  </si>
  <si>
    <t>Master's Ratio</t>
  </si>
  <si>
    <t>Bachelor's Ratio</t>
  </si>
  <si>
    <t>Undergraduate</t>
  </si>
  <si>
    <t>2014-15</t>
  </si>
  <si>
    <r>
      <t xml:space="preserve">4. Student Credit Hours </t>
    </r>
    <r>
      <rPr>
        <sz val="10"/>
        <rFont val="Arial"/>
        <family val="2"/>
      </rPr>
      <t>(SU, FA &amp; SP Semesters Combined)</t>
    </r>
  </si>
  <si>
    <r>
      <t>1. Number of Duplicated Majors</t>
    </r>
    <r>
      <rPr>
        <sz val="10"/>
        <rFont val="Arial"/>
        <family val="2"/>
      </rPr>
      <t xml:space="preserve"> (SU, FA &amp; SP Semesters Combined)</t>
    </r>
  </si>
  <si>
    <r>
      <t xml:space="preserve">5. Average Class Size </t>
    </r>
    <r>
      <rPr>
        <sz val="10"/>
        <rFont val="Arial"/>
        <family val="2"/>
      </rPr>
      <t>(Classes of 6 or more students)</t>
    </r>
  </si>
  <si>
    <r>
      <t xml:space="preserve">9. Department Expenditures </t>
    </r>
    <r>
      <rPr>
        <sz val="10"/>
        <rFont val="Arial"/>
        <family val="2"/>
      </rPr>
      <t>(Actual Personnel and Non-Personnel)</t>
    </r>
  </si>
  <si>
    <r>
      <t xml:space="preserve">10. Cost Per Credit Hour </t>
    </r>
    <r>
      <rPr>
        <sz val="10"/>
        <rFont val="Arial"/>
        <family val="2"/>
      </rPr>
      <t>(Total Department Expenditures/Total Credit Hours)</t>
    </r>
  </si>
  <si>
    <r>
      <t xml:space="preserve">6. Number of Faculty </t>
    </r>
    <r>
      <rPr>
        <sz val="10"/>
        <rFont val="Arial"/>
        <family val="2"/>
      </rPr>
      <t>(Fall Semester)</t>
    </r>
  </si>
  <si>
    <r>
      <t xml:space="preserve">11. Cost Per Full-Time Equivalent (FTE) </t>
    </r>
    <r>
      <rPr>
        <sz val="10"/>
        <rFont val="Arial"/>
        <family val="2"/>
      </rPr>
      <t>(Total Department Expenditures/FTE Faculty)</t>
    </r>
  </si>
  <si>
    <t>Bachelors</t>
  </si>
  <si>
    <t>Masters</t>
  </si>
  <si>
    <t>Health, Physical Education &amp; Recreation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</si>
</sst>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quot;$&quot;#,##0"/>
    <numFmt numFmtId="165" formatCode="&quot;$&quot;#,##0.00"/>
    <numFmt numFmtId="166" formatCode="_(* #,##0.0_);_(* \(#,##0.0\);_(* &quot;-&quot;??_);_(@_)"/>
    <numFmt numFmtId="167" formatCode="_(* #,##0_);_(* \(#,##0\);_(* &quot;-&quot;??_);_(@_)"/>
    <numFmt numFmtId="168" formatCode="0.0"/>
    <numFmt numFmtId="169" formatCode="_(&quot;$&quot;* #,##0_);_(&quot;$&quot;* \(#,##0\);_(&quot;$&quot;* &quot;-&quot;??_);_(@_)"/>
  </numFmts>
  <fonts count="16" x14ac:knownFonts="1">
    <font>
      <sz val="10"/>
      <name val="Arial"/>
    </font>
    <font>
      <sz val="10"/>
      <name val="Arial"/>
      <family val="2"/>
    </font>
    <font>
      <sz val="8"/>
      <name val="Arial"/>
      <family val="2"/>
    </font>
    <font>
      <b/>
      <sz val="10"/>
      <name val="Arial"/>
      <family val="2"/>
    </font>
    <font>
      <i/>
      <sz val="10"/>
      <name val="Arial"/>
      <family val="2"/>
    </font>
    <font>
      <sz val="10"/>
      <name val="Arial"/>
      <family val="2"/>
    </font>
    <font>
      <sz val="8"/>
      <name val="Arial"/>
      <family val="2"/>
    </font>
    <font>
      <b/>
      <sz val="10"/>
      <color indexed="10"/>
      <name val="Arial"/>
      <family val="2"/>
    </font>
    <font>
      <sz val="8"/>
      <color indexed="81"/>
      <name val="Tahoma"/>
      <family val="2"/>
    </font>
    <font>
      <b/>
      <sz val="8"/>
      <color indexed="81"/>
      <name val="Tahoma"/>
      <family val="2"/>
    </font>
    <font>
      <b/>
      <i/>
      <sz val="10"/>
      <name val="Arial"/>
      <family val="2"/>
    </font>
    <font>
      <sz val="10"/>
      <name val="Arial"/>
      <family val="2"/>
    </font>
    <font>
      <sz val="11"/>
      <color rgb="FF9C0006"/>
      <name val="Calibri"/>
      <family val="2"/>
      <scheme val="minor"/>
    </font>
    <font>
      <sz val="10"/>
      <color rgb="FFFF0000"/>
      <name val="Arial"/>
      <family val="2"/>
    </font>
    <font>
      <b/>
      <sz val="10"/>
      <color rgb="FFFF0000"/>
      <name val="Arial"/>
      <family val="2"/>
    </font>
    <font>
      <sz val="11"/>
      <name val="Calibri"/>
      <family val="2"/>
      <scheme val="minor"/>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7" tint="0.79998168889431442"/>
        <bgColor indexed="64"/>
      </patternFill>
    </fill>
    <fill>
      <patternFill patternType="lightGray">
        <bgColor theme="0"/>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2" fillId="2"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00">
    <xf numFmtId="0" fontId="0" fillId="0" borderId="0" xfId="0"/>
    <xf numFmtId="0" fontId="15" fillId="3" borderId="1" xfId="1" applyFont="1" applyFill="1" applyBorder="1"/>
    <xf numFmtId="0" fontId="0" fillId="4" borderId="0" xfId="0" applyFill="1"/>
    <xf numFmtId="0" fontId="0" fillId="3" borderId="0" xfId="0" applyFill="1"/>
    <xf numFmtId="0" fontId="10" fillId="3" borderId="17" xfId="0" applyFont="1" applyFill="1" applyBorder="1" applyAlignment="1">
      <alignment horizontal="center"/>
    </xf>
    <xf numFmtId="0" fontId="3" fillId="6" borderId="8" xfId="0" applyFont="1" applyFill="1" applyBorder="1" applyAlignment="1">
      <alignment horizontal="left" vertical="center"/>
    </xf>
    <xf numFmtId="0" fontId="0" fillId="6" borderId="9" xfId="0" applyFill="1" applyBorder="1" applyAlignment="1">
      <alignment horizontal="left" vertical="center"/>
    </xf>
    <xf numFmtId="0" fontId="0" fillId="6" borderId="10" xfId="0" applyFill="1" applyBorder="1" applyAlignment="1">
      <alignment horizontal="left" vertical="center"/>
    </xf>
    <xf numFmtId="0" fontId="5" fillId="6" borderId="9" xfId="0" applyFont="1" applyFill="1" applyBorder="1" applyAlignment="1">
      <alignment horizontal="left" vertical="center"/>
    </xf>
    <xf numFmtId="0" fontId="4" fillId="6" borderId="22" xfId="0" applyFont="1" applyFill="1" applyBorder="1"/>
    <xf numFmtId="2" fontId="4" fillId="6" borderId="23" xfId="0" applyNumberFormat="1" applyFont="1" applyFill="1" applyBorder="1"/>
    <xf numFmtId="2" fontId="4" fillId="6" borderId="24" xfId="0" applyNumberFormat="1" applyFont="1" applyFill="1" applyBorder="1"/>
    <xf numFmtId="2" fontId="4" fillId="6" borderId="25" xfId="0" applyNumberFormat="1" applyFont="1" applyFill="1" applyBorder="1"/>
    <xf numFmtId="0" fontId="3" fillId="3" borderId="3" xfId="0" applyFont="1" applyFill="1" applyBorder="1"/>
    <xf numFmtId="0" fontId="3" fillId="3" borderId="1" xfId="0" applyFont="1" applyFill="1" applyBorder="1"/>
    <xf numFmtId="0" fontId="3" fillId="3" borderId="2" xfId="0" applyFont="1" applyFill="1" applyBorder="1"/>
    <xf numFmtId="2" fontId="3" fillId="3" borderId="14" xfId="0" applyNumberFormat="1" applyFont="1" applyFill="1" applyBorder="1"/>
    <xf numFmtId="2" fontId="3" fillId="3" borderId="7" xfId="0" applyNumberFormat="1" applyFont="1" applyFill="1" applyBorder="1"/>
    <xf numFmtId="0" fontId="3" fillId="6" borderId="8" xfId="0" applyFont="1" applyFill="1" applyBorder="1"/>
    <xf numFmtId="0" fontId="0" fillId="6" borderId="9" xfId="0" applyFill="1" applyBorder="1"/>
    <xf numFmtId="0" fontId="0" fillId="6" borderId="10" xfId="0" applyFill="1" applyBorder="1"/>
    <xf numFmtId="0" fontId="5" fillId="6" borderId="9" xfId="0" applyFont="1" applyFill="1" applyBorder="1"/>
    <xf numFmtId="0" fontId="3" fillId="3" borderId="4" xfId="0" applyFont="1" applyFill="1" applyBorder="1"/>
    <xf numFmtId="3" fontId="3" fillId="3" borderId="5" xfId="0" applyNumberFormat="1" applyFont="1" applyFill="1" applyBorder="1"/>
    <xf numFmtId="4" fontId="3" fillId="3" borderId="6" xfId="0" applyNumberFormat="1" applyFont="1" applyFill="1" applyBorder="1"/>
    <xf numFmtId="3" fontId="3" fillId="3" borderId="5" xfId="2" applyNumberFormat="1" applyFont="1" applyFill="1" applyBorder="1"/>
    <xf numFmtId="0" fontId="3" fillId="3" borderId="0" xfId="0" applyFont="1" applyFill="1" applyBorder="1" applyAlignment="1">
      <alignment horizontal="center"/>
    </xf>
    <xf numFmtId="0" fontId="10" fillId="3" borderId="0" xfId="0" applyFont="1" applyFill="1" applyBorder="1" applyAlignment="1">
      <alignment horizontal="left"/>
    </xf>
    <xf numFmtId="0" fontId="3" fillId="3" borderId="0" xfId="0" applyFont="1" applyFill="1" applyAlignment="1">
      <alignment horizontal="center"/>
    </xf>
    <xf numFmtId="0" fontId="3" fillId="3" borderId="12" xfId="0" applyFont="1" applyFill="1" applyBorder="1"/>
    <xf numFmtId="0" fontId="10" fillId="3" borderId="16" xfId="0" applyFont="1" applyFill="1" applyBorder="1" applyAlignment="1">
      <alignment horizontal="center"/>
    </xf>
    <xf numFmtId="2" fontId="0" fillId="3" borderId="3" xfId="0" applyNumberFormat="1" applyFill="1" applyBorder="1" applyAlignment="1">
      <alignment horizontal="left" indent="1"/>
    </xf>
    <xf numFmtId="0" fontId="0" fillId="3" borderId="1" xfId="0" applyFill="1" applyBorder="1"/>
    <xf numFmtId="0" fontId="0" fillId="3" borderId="2" xfId="0" applyFill="1" applyBorder="1"/>
    <xf numFmtId="2" fontId="0" fillId="3" borderId="14" xfId="0" applyNumberFormat="1" applyFill="1" applyBorder="1"/>
    <xf numFmtId="0" fontId="4" fillId="3" borderId="18" xfId="0" applyFont="1" applyFill="1" applyBorder="1"/>
    <xf numFmtId="2" fontId="4" fillId="3" borderId="19" xfId="0" applyNumberFormat="1" applyFont="1" applyFill="1" applyBorder="1"/>
    <xf numFmtId="2" fontId="4" fillId="3" borderId="20" xfId="0" applyNumberFormat="1" applyFont="1" applyFill="1" applyBorder="1"/>
    <xf numFmtId="2" fontId="4" fillId="3" borderId="21" xfId="0" applyNumberFormat="1" applyFont="1" applyFill="1" applyBorder="1"/>
    <xf numFmtId="0" fontId="4" fillId="3" borderId="4" xfId="0" applyFont="1" applyFill="1" applyBorder="1"/>
    <xf numFmtId="2" fontId="4" fillId="3" borderId="5" xfId="0" applyNumberFormat="1" applyFont="1" applyFill="1" applyBorder="1"/>
    <xf numFmtId="2" fontId="4" fillId="3" borderId="11" xfId="0" applyNumberFormat="1" applyFont="1" applyFill="1" applyBorder="1"/>
    <xf numFmtId="2" fontId="4" fillId="3" borderId="15" xfId="0" applyNumberFormat="1" applyFont="1" applyFill="1" applyBorder="1"/>
    <xf numFmtId="0" fontId="0" fillId="3" borderId="3" xfId="0" applyFill="1" applyBorder="1" applyAlignment="1">
      <alignment horizontal="left" wrapText="1" indent="1"/>
    </xf>
    <xf numFmtId="1" fontId="0" fillId="3" borderId="1" xfId="0" applyNumberFormat="1" applyFill="1" applyBorder="1"/>
    <xf numFmtId="2" fontId="0" fillId="3" borderId="7" xfId="0" applyNumberFormat="1" applyFill="1" applyBorder="1"/>
    <xf numFmtId="0" fontId="0" fillId="3" borderId="18" xfId="0" applyFill="1" applyBorder="1" applyAlignment="1">
      <alignment horizontal="left" wrapText="1" indent="1"/>
    </xf>
    <xf numFmtId="0" fontId="0" fillId="3" borderId="19" xfId="0" applyFill="1" applyBorder="1"/>
    <xf numFmtId="2" fontId="0" fillId="3" borderId="21" xfId="0" applyNumberFormat="1" applyFill="1" applyBorder="1"/>
    <xf numFmtId="0" fontId="3" fillId="3" borderId="4" xfId="0" applyFont="1" applyFill="1" applyBorder="1" applyAlignment="1">
      <alignment wrapText="1"/>
    </xf>
    <xf numFmtId="1" fontId="3" fillId="3" borderId="5" xfId="0" applyNumberFormat="1" applyFont="1" applyFill="1" applyBorder="1"/>
    <xf numFmtId="2" fontId="3" fillId="3" borderId="6" xfId="0" applyNumberFormat="1" applyFont="1" applyFill="1" applyBorder="1"/>
    <xf numFmtId="0" fontId="10" fillId="3" borderId="12" xfId="0" applyFont="1" applyFill="1" applyBorder="1"/>
    <xf numFmtId="0" fontId="0" fillId="3" borderId="3" xfId="0" applyFill="1" applyBorder="1"/>
    <xf numFmtId="2" fontId="0" fillId="3" borderId="1" xfId="0" applyNumberFormat="1" applyFill="1" applyBorder="1"/>
    <xf numFmtId="0" fontId="0" fillId="3" borderId="4" xfId="0" applyFill="1" applyBorder="1"/>
    <xf numFmtId="2" fontId="0" fillId="3" borderId="5" xfId="0" applyNumberFormat="1" applyFill="1" applyBorder="1"/>
    <xf numFmtId="2" fontId="0" fillId="3" borderId="6" xfId="0" applyNumberFormat="1" applyFill="1" applyBorder="1"/>
    <xf numFmtId="0" fontId="0" fillId="3" borderId="0" xfId="0" applyFill="1" applyBorder="1"/>
    <xf numFmtId="2" fontId="0" fillId="3" borderId="0" xfId="0" applyNumberFormat="1" applyFill="1" applyBorder="1"/>
    <xf numFmtId="0" fontId="0" fillId="3" borderId="3" xfId="0" applyFill="1" applyBorder="1" applyAlignment="1">
      <alignment horizontal="left" indent="1"/>
    </xf>
    <xf numFmtId="3" fontId="0" fillId="3" borderId="1" xfId="0" applyNumberFormat="1" applyFill="1" applyBorder="1"/>
    <xf numFmtId="4" fontId="0" fillId="3" borderId="7" xfId="0" applyNumberFormat="1" applyFill="1" applyBorder="1"/>
    <xf numFmtId="0" fontId="5" fillId="3" borderId="1" xfId="0" applyFont="1" applyFill="1" applyBorder="1" applyAlignment="1"/>
    <xf numFmtId="0" fontId="0" fillId="3" borderId="4" xfId="0" applyFill="1" applyBorder="1" applyAlignment="1">
      <alignment horizontal="left" indent="1"/>
    </xf>
    <xf numFmtId="0" fontId="0" fillId="3" borderId="5" xfId="0" applyFill="1" applyBorder="1"/>
    <xf numFmtId="0" fontId="5" fillId="3" borderId="0" xfId="0" applyFont="1" applyFill="1" applyBorder="1"/>
    <xf numFmtId="2" fontId="4" fillId="3" borderId="6" xfId="0" applyNumberFormat="1" applyFont="1" applyFill="1" applyBorder="1"/>
    <xf numFmtId="0" fontId="0" fillId="3" borderId="12" xfId="0" applyFill="1" applyBorder="1"/>
    <xf numFmtId="2" fontId="0" fillId="3" borderId="13" xfId="0" applyNumberFormat="1" applyFill="1" applyBorder="1"/>
    <xf numFmtId="166" fontId="0" fillId="3" borderId="13" xfId="2" applyNumberFormat="1" applyFont="1" applyFill="1" applyBorder="1"/>
    <xf numFmtId="166" fontId="0" fillId="3" borderId="5" xfId="2" applyNumberFormat="1" applyFont="1" applyFill="1" applyBorder="1"/>
    <xf numFmtId="166" fontId="0" fillId="3" borderId="6" xfId="2" applyNumberFormat="1" applyFont="1" applyFill="1" applyBorder="1"/>
    <xf numFmtId="164" fontId="0" fillId="3" borderId="5" xfId="0" applyNumberFormat="1" applyFill="1" applyBorder="1"/>
    <xf numFmtId="165" fontId="0" fillId="3" borderId="6" xfId="0" applyNumberFormat="1" applyFill="1" applyBorder="1"/>
    <xf numFmtId="165" fontId="0" fillId="3" borderId="13" xfId="0" applyNumberFormat="1" applyFill="1" applyBorder="1"/>
    <xf numFmtId="165" fontId="0" fillId="3" borderId="5" xfId="0" applyNumberFormat="1" applyFill="1" applyBorder="1"/>
    <xf numFmtId="0" fontId="10" fillId="3" borderId="0" xfId="0" applyFont="1" applyFill="1" applyBorder="1" applyAlignment="1"/>
    <xf numFmtId="0" fontId="3" fillId="3" borderId="0" xfId="0" applyFont="1" applyFill="1" applyBorder="1" applyAlignment="1"/>
    <xf numFmtId="0" fontId="3" fillId="3" borderId="5" xfId="0" applyFont="1" applyFill="1" applyBorder="1"/>
    <xf numFmtId="168" fontId="0" fillId="3" borderId="1" xfId="0" applyNumberFormat="1" applyFill="1" applyBorder="1"/>
    <xf numFmtId="0" fontId="5" fillId="3" borderId="4" xfId="0" applyFont="1" applyFill="1" applyBorder="1"/>
    <xf numFmtId="2" fontId="5" fillId="3" borderId="13" xfId="0" applyNumberFormat="1" applyFont="1" applyFill="1" applyBorder="1"/>
    <xf numFmtId="2" fontId="5" fillId="3" borderId="5" xfId="0" applyNumberFormat="1" applyFont="1" applyFill="1" applyBorder="1"/>
    <xf numFmtId="2" fontId="5" fillId="3" borderId="6" xfId="0" applyNumberFormat="1" applyFont="1" applyFill="1" applyBorder="1"/>
    <xf numFmtId="0" fontId="5" fillId="3" borderId="0" xfId="0" applyFont="1" applyFill="1"/>
    <xf numFmtId="164" fontId="5" fillId="3" borderId="5" xfId="0" applyNumberFormat="1" applyFont="1" applyFill="1" applyBorder="1"/>
    <xf numFmtId="165" fontId="5" fillId="3" borderId="6" xfId="0" applyNumberFormat="1" applyFont="1" applyFill="1" applyBorder="1"/>
    <xf numFmtId="0" fontId="14" fillId="3" borderId="0" xfId="0" applyFont="1" applyFill="1"/>
    <xf numFmtId="0" fontId="13" fillId="3" borderId="0" xfId="0" applyFont="1" applyFill="1"/>
    <xf numFmtId="164" fontId="0" fillId="3" borderId="0" xfId="0" applyNumberFormat="1" applyFill="1" applyBorder="1"/>
    <xf numFmtId="165" fontId="0" fillId="3" borderId="0" xfId="0" applyNumberFormat="1" applyFill="1" applyBorder="1"/>
    <xf numFmtId="0" fontId="5" fillId="3" borderId="1" xfId="0" applyFont="1" applyFill="1" applyBorder="1" applyAlignment="1">
      <alignment horizontal="right"/>
    </xf>
    <xf numFmtId="0" fontId="5" fillId="3" borderId="2" xfId="0" applyFont="1" applyFill="1" applyBorder="1" applyAlignment="1">
      <alignment horizontal="right"/>
    </xf>
    <xf numFmtId="0" fontId="5" fillId="3" borderId="1" xfId="0" applyFont="1" applyFill="1" applyBorder="1"/>
    <xf numFmtId="2" fontId="5" fillId="3" borderId="0" xfId="0" applyNumberFormat="1" applyFont="1" applyFill="1" applyBorder="1"/>
    <xf numFmtId="3" fontId="5" fillId="3" borderId="1" xfId="0" applyNumberFormat="1" applyFont="1" applyFill="1" applyBorder="1"/>
    <xf numFmtId="3" fontId="0" fillId="3" borderId="1" xfId="2" applyNumberFormat="1" applyFont="1" applyFill="1" applyBorder="1"/>
    <xf numFmtId="1" fontId="0" fillId="3" borderId="0" xfId="0" applyNumberFormat="1" applyFill="1"/>
    <xf numFmtId="0" fontId="3" fillId="3" borderId="0" xfId="0" applyFont="1" applyFill="1"/>
    <xf numFmtId="4" fontId="0" fillId="3" borderId="6" xfId="0" applyNumberFormat="1" applyFill="1" applyBorder="1"/>
    <xf numFmtId="164" fontId="0" fillId="3" borderId="6" xfId="0" applyNumberFormat="1" applyFill="1" applyBorder="1"/>
    <xf numFmtId="0" fontId="7" fillId="3" borderId="0" xfId="0" applyFont="1" applyFill="1"/>
    <xf numFmtId="0" fontId="3" fillId="3" borderId="0" xfId="0" applyFont="1" applyFill="1" applyBorder="1" applyAlignment="1">
      <alignment horizontal="left"/>
    </xf>
    <xf numFmtId="0" fontId="3" fillId="3" borderId="0" xfId="0" applyFont="1" applyFill="1" applyAlignment="1">
      <alignment horizontal="left"/>
    </xf>
    <xf numFmtId="0" fontId="3" fillId="3" borderId="0" xfId="0" applyFont="1" applyFill="1" applyAlignment="1">
      <alignment horizontal="center" wrapText="1" shrinkToFit="1"/>
    </xf>
    <xf numFmtId="0" fontId="1" fillId="3" borderId="3" xfId="0" applyFont="1" applyFill="1" applyBorder="1" applyAlignment="1">
      <alignment horizontal="left" wrapText="1" indent="1"/>
    </xf>
    <xf numFmtId="0" fontId="1" fillId="3" borderId="18" xfId="0" applyFont="1" applyFill="1" applyBorder="1" applyAlignment="1">
      <alignment horizontal="left" wrapText="1" indent="1"/>
    </xf>
    <xf numFmtId="0" fontId="1" fillId="3" borderId="3" xfId="0" applyFont="1" applyFill="1" applyBorder="1"/>
    <xf numFmtId="0" fontId="1" fillId="3" borderId="4" xfId="0" applyFont="1" applyFill="1" applyBorder="1"/>
    <xf numFmtId="0" fontId="1" fillId="3" borderId="3" xfId="0" applyFont="1" applyFill="1" applyBorder="1" applyAlignment="1">
      <alignment horizontal="left" indent="1"/>
    </xf>
    <xf numFmtId="3" fontId="0" fillId="5" borderId="1" xfId="0" applyNumberFormat="1" applyFill="1" applyBorder="1"/>
    <xf numFmtId="4" fontId="0" fillId="5" borderId="7" xfId="0" applyNumberFormat="1" applyFill="1" applyBorder="1"/>
    <xf numFmtId="0" fontId="5" fillId="3" borderId="1" xfId="0" applyFont="1" applyFill="1" applyBorder="1" applyAlignment="1">
      <alignment horizontal="right" wrapText="1"/>
    </xf>
    <xf numFmtId="2" fontId="0" fillId="3" borderId="7" xfId="0" applyNumberFormat="1" applyFill="1" applyBorder="1" applyAlignment="1">
      <alignment horizontal="right"/>
    </xf>
    <xf numFmtId="0" fontId="3" fillId="3" borderId="5" xfId="0" applyFont="1" applyFill="1" applyBorder="1" applyAlignment="1">
      <alignment horizontal="right" wrapText="1"/>
    </xf>
    <xf numFmtId="2" fontId="3" fillId="3" borderId="6" xfId="0" applyNumberFormat="1" applyFont="1" applyFill="1" applyBorder="1" applyAlignment="1">
      <alignment horizontal="right"/>
    </xf>
    <xf numFmtId="0" fontId="0" fillId="5" borderId="19" xfId="0" applyFill="1" applyBorder="1"/>
    <xf numFmtId="2" fontId="0" fillId="5" borderId="21" xfId="0" applyNumberFormat="1" applyFill="1" applyBorder="1"/>
    <xf numFmtId="0" fontId="0" fillId="5" borderId="5" xfId="0" applyFill="1" applyBorder="1"/>
    <xf numFmtId="2" fontId="0" fillId="5" borderId="6" xfId="0" applyNumberFormat="1" applyFill="1" applyBorder="1"/>
    <xf numFmtId="0" fontId="10" fillId="5" borderId="17" xfId="0" applyFont="1" applyFill="1" applyBorder="1" applyAlignment="1">
      <alignment horizontal="center"/>
    </xf>
    <xf numFmtId="0" fontId="10" fillId="5" borderId="16" xfId="0" applyFont="1" applyFill="1" applyBorder="1" applyAlignment="1">
      <alignment horizontal="center"/>
    </xf>
    <xf numFmtId="0" fontId="0" fillId="5" borderId="1" xfId="0" applyFill="1" applyBorder="1"/>
    <xf numFmtId="0" fontId="0" fillId="5" borderId="2" xfId="0" applyFill="1" applyBorder="1"/>
    <xf numFmtId="2" fontId="0" fillId="5" borderId="14" xfId="0" applyNumberFormat="1" applyFill="1" applyBorder="1"/>
    <xf numFmtId="0" fontId="3" fillId="5" borderId="1" xfId="0" applyFont="1" applyFill="1" applyBorder="1"/>
    <xf numFmtId="0" fontId="3" fillId="5" borderId="2" xfId="0" applyFont="1" applyFill="1" applyBorder="1"/>
    <xf numFmtId="2" fontId="3" fillId="5" borderId="14" xfId="0" applyNumberFormat="1" applyFont="1" applyFill="1" applyBorder="1"/>
    <xf numFmtId="2" fontId="4" fillId="5" borderId="5" xfId="0" applyNumberFormat="1" applyFont="1" applyFill="1" applyBorder="1"/>
    <xf numFmtId="2" fontId="4" fillId="5" borderId="11" xfId="0" applyNumberFormat="1" applyFont="1" applyFill="1" applyBorder="1"/>
    <xf numFmtId="2" fontId="4" fillId="5" borderId="15" xfId="0" applyNumberFormat="1" applyFont="1" applyFill="1" applyBorder="1"/>
    <xf numFmtId="2" fontId="0" fillId="5" borderId="1" xfId="0" applyNumberFormat="1" applyFill="1" applyBorder="1"/>
    <xf numFmtId="2" fontId="0" fillId="5" borderId="5" xfId="0" applyNumberFormat="1" applyFill="1" applyBorder="1"/>
    <xf numFmtId="2" fontId="0" fillId="5" borderId="13" xfId="0" applyNumberFormat="1" applyFill="1" applyBorder="1"/>
    <xf numFmtId="0" fontId="10" fillId="3" borderId="1" xfId="0" applyFont="1" applyFill="1" applyBorder="1" applyAlignment="1">
      <alignment horizontal="center"/>
    </xf>
    <xf numFmtId="0" fontId="10" fillId="3" borderId="7" xfId="0" applyFont="1" applyFill="1" applyBorder="1" applyAlignment="1">
      <alignment horizontal="center"/>
    </xf>
    <xf numFmtId="165" fontId="1" fillId="3" borderId="5" xfId="0" applyNumberFormat="1" applyFont="1" applyFill="1" applyBorder="1" applyAlignment="1">
      <alignment horizontal="center"/>
    </xf>
    <xf numFmtId="165" fontId="1" fillId="3" borderId="6" xfId="0" applyNumberFormat="1" applyFont="1" applyFill="1" applyBorder="1" applyAlignment="1">
      <alignment horizontal="center"/>
    </xf>
    <xf numFmtId="164" fontId="5" fillId="3" borderId="5" xfId="2" applyNumberFormat="1" applyFont="1" applyFill="1" applyBorder="1"/>
    <xf numFmtId="0" fontId="5" fillId="5" borderId="1" xfId="0" applyFont="1" applyFill="1" applyBorder="1" applyAlignment="1">
      <alignment horizontal="center"/>
    </xf>
    <xf numFmtId="0" fontId="5" fillId="5" borderId="2" xfId="0" applyFont="1" applyFill="1" applyBorder="1" applyAlignment="1">
      <alignment horizontal="center"/>
    </xf>
    <xf numFmtId="0" fontId="5" fillId="5" borderId="1" xfId="0" applyFont="1" applyFill="1" applyBorder="1"/>
    <xf numFmtId="0" fontId="5" fillId="5" borderId="19" xfId="0" applyFont="1" applyFill="1" applyBorder="1" applyAlignment="1">
      <alignment horizontal="right" wrapText="1"/>
    </xf>
    <xf numFmtId="0" fontId="5" fillId="5" borderId="19" xfId="0" applyFont="1" applyFill="1" applyBorder="1" applyAlignment="1">
      <alignment horizontal="right"/>
    </xf>
    <xf numFmtId="2" fontId="0" fillId="5" borderId="21" xfId="0" applyNumberFormat="1" applyFill="1" applyBorder="1" applyAlignment="1">
      <alignment horizontal="right"/>
    </xf>
    <xf numFmtId="3" fontId="5" fillId="5" borderId="1" xfId="0" applyNumberFormat="1" applyFont="1" applyFill="1" applyBorder="1"/>
    <xf numFmtId="0" fontId="5" fillId="5" borderId="5" xfId="0" applyFont="1" applyFill="1" applyBorder="1"/>
    <xf numFmtId="1" fontId="4" fillId="5" borderId="5" xfId="0" applyNumberFormat="1" applyFont="1" applyFill="1" applyBorder="1"/>
    <xf numFmtId="1" fontId="4" fillId="5" borderId="11" xfId="0" applyNumberFormat="1" applyFont="1" applyFill="1" applyBorder="1"/>
    <xf numFmtId="2" fontId="3" fillId="5" borderId="7" xfId="0" applyNumberFormat="1" applyFont="1" applyFill="1" applyBorder="1"/>
    <xf numFmtId="2" fontId="4" fillId="5" borderId="19" xfId="0" applyNumberFormat="1" applyFont="1" applyFill="1" applyBorder="1"/>
    <xf numFmtId="2" fontId="4" fillId="5" borderId="20" xfId="0" applyNumberFormat="1" applyFont="1" applyFill="1" applyBorder="1"/>
    <xf numFmtId="2" fontId="4" fillId="5" borderId="21" xfId="0" applyNumberFormat="1" applyFont="1" applyFill="1" applyBorder="1"/>
    <xf numFmtId="2" fontId="0" fillId="5" borderId="7" xfId="0" applyNumberFormat="1" applyFill="1" applyBorder="1"/>
    <xf numFmtId="0" fontId="5" fillId="5" borderId="1" xfId="0" applyFont="1" applyFill="1" applyBorder="1" applyAlignment="1"/>
    <xf numFmtId="4" fontId="0" fillId="5" borderId="6" xfId="0" applyNumberFormat="1" applyFill="1" applyBorder="1"/>
    <xf numFmtId="168" fontId="5" fillId="3" borderId="1" xfId="0" applyNumberFormat="1" applyFont="1" applyFill="1" applyBorder="1" applyAlignment="1"/>
    <xf numFmtId="168" fontId="0" fillId="3" borderId="5" xfId="0" applyNumberFormat="1" applyFill="1" applyBorder="1"/>
    <xf numFmtId="0" fontId="1" fillId="3" borderId="0" xfId="0" applyFont="1" applyFill="1"/>
    <xf numFmtId="167" fontId="3" fillId="3" borderId="0" xfId="2" applyNumberFormat="1" applyFont="1" applyFill="1" applyAlignment="1">
      <alignment horizontal="center" wrapText="1" shrinkToFit="1"/>
    </xf>
    <xf numFmtId="167" fontId="3" fillId="3" borderId="0" xfId="2" applyNumberFormat="1" applyFont="1" applyFill="1" applyAlignment="1">
      <alignment horizontal="center"/>
    </xf>
    <xf numFmtId="167" fontId="0" fillId="3" borderId="1" xfId="2" applyNumberFormat="1" applyFont="1" applyFill="1" applyBorder="1"/>
    <xf numFmtId="167" fontId="0" fillId="3" borderId="0" xfId="0" applyNumberFormat="1" applyFill="1"/>
    <xf numFmtId="167" fontId="4" fillId="3" borderId="1" xfId="2" applyNumberFormat="1" applyFont="1" applyFill="1" applyBorder="1"/>
    <xf numFmtId="167" fontId="0" fillId="3" borderId="0" xfId="2" applyNumberFormat="1" applyFont="1" applyFill="1" applyBorder="1"/>
    <xf numFmtId="167" fontId="0" fillId="3" borderId="0" xfId="2" applyNumberFormat="1" applyFont="1" applyFill="1"/>
    <xf numFmtId="167" fontId="11" fillId="3" borderId="1" xfId="2" applyNumberFormat="1" applyFont="1" applyFill="1" applyBorder="1"/>
    <xf numFmtId="167" fontId="13" fillId="3" borderId="0" xfId="2" applyNumberFormat="1" applyFont="1" applyFill="1"/>
    <xf numFmtId="167" fontId="13" fillId="3" borderId="0" xfId="2" applyNumberFormat="1" applyFont="1" applyFill="1" applyBorder="1"/>
    <xf numFmtId="0" fontId="10" fillId="3" borderId="3" xfId="0" applyFont="1" applyFill="1" applyBorder="1"/>
    <xf numFmtId="167" fontId="0" fillId="3" borderId="7" xfId="2" applyNumberFormat="1" applyFont="1" applyFill="1" applyBorder="1"/>
    <xf numFmtId="0" fontId="4" fillId="3" borderId="3" xfId="0" applyFont="1" applyFill="1" applyBorder="1"/>
    <xf numFmtId="167" fontId="4" fillId="3" borderId="7" xfId="2" applyNumberFormat="1" applyFont="1" applyFill="1" applyBorder="1"/>
    <xf numFmtId="167" fontId="4" fillId="3" borderId="5" xfId="2" applyNumberFormat="1" applyFont="1" applyFill="1" applyBorder="1"/>
    <xf numFmtId="167" fontId="4" fillId="3" borderId="6" xfId="2" applyNumberFormat="1" applyFont="1" applyFill="1" applyBorder="1"/>
    <xf numFmtId="167" fontId="11" fillId="3" borderId="7" xfId="2" applyNumberFormat="1" applyFont="1" applyFill="1" applyBorder="1"/>
    <xf numFmtId="167" fontId="0" fillId="3" borderId="5" xfId="2" applyNumberFormat="1" applyFont="1" applyFill="1" applyBorder="1"/>
    <xf numFmtId="167" fontId="0" fillId="3" borderId="6" xfId="2" applyNumberFormat="1" applyFont="1" applyFill="1" applyBorder="1"/>
    <xf numFmtId="169" fontId="0" fillId="3" borderId="5" xfId="3" applyNumberFormat="1" applyFont="1" applyFill="1" applyBorder="1"/>
    <xf numFmtId="167" fontId="3" fillId="3" borderId="5" xfId="2" applyNumberFormat="1" applyFont="1" applyFill="1" applyBorder="1"/>
    <xf numFmtId="167" fontId="3" fillId="3" borderId="6" xfId="2" applyNumberFormat="1" applyFont="1" applyFill="1" applyBorder="1"/>
    <xf numFmtId="167" fontId="3" fillId="3" borderId="1" xfId="2" applyNumberFormat="1" applyFont="1" applyFill="1" applyBorder="1"/>
    <xf numFmtId="167" fontId="3" fillId="3" borderId="7" xfId="2" applyNumberFormat="1" applyFont="1" applyFill="1" applyBorder="1"/>
    <xf numFmtId="167" fontId="3" fillId="3" borderId="1" xfId="2" applyNumberFormat="1" applyFont="1" applyFill="1" applyBorder="1" applyAlignment="1">
      <alignment horizontal="center"/>
    </xf>
    <xf numFmtId="167" fontId="3" fillId="3" borderId="7" xfId="2" applyNumberFormat="1" applyFont="1" applyFill="1" applyBorder="1" applyAlignment="1">
      <alignment horizontal="center"/>
    </xf>
    <xf numFmtId="0" fontId="10" fillId="3" borderId="0" xfId="0" applyFont="1" applyFill="1" applyBorder="1" applyAlignment="1">
      <alignment horizontal="left"/>
    </xf>
    <xf numFmtId="0" fontId="4" fillId="3" borderId="0" xfId="0" applyFont="1" applyFill="1" applyBorder="1" applyAlignment="1"/>
    <xf numFmtId="0" fontId="3" fillId="3" borderId="0" xfId="0" applyFont="1" applyFill="1" applyBorder="1" applyAlignment="1">
      <alignment horizontal="left"/>
    </xf>
    <xf numFmtId="0" fontId="3" fillId="3" borderId="0" xfId="0" applyFont="1" applyFill="1" applyAlignment="1">
      <alignment horizontal="left"/>
    </xf>
    <xf numFmtId="0" fontId="0" fillId="3" borderId="0" xfId="0" applyFill="1" applyBorder="1" applyAlignment="1"/>
    <xf numFmtId="0" fontId="3" fillId="6" borderId="8" xfId="0" applyFont="1" applyFill="1" applyBorder="1" applyAlignment="1">
      <alignment horizontal="left"/>
    </xf>
    <xf numFmtId="0" fontId="3" fillId="6" borderId="9" xfId="0" applyFont="1" applyFill="1" applyBorder="1" applyAlignment="1">
      <alignment horizontal="left"/>
    </xf>
    <xf numFmtId="0" fontId="3" fillId="6" borderId="10" xfId="0" applyFont="1" applyFill="1" applyBorder="1" applyAlignment="1">
      <alignment horizontal="left"/>
    </xf>
    <xf numFmtId="167" fontId="10" fillId="3" borderId="0" xfId="2" applyNumberFormat="1" applyFont="1" applyFill="1" applyAlignment="1">
      <alignment horizontal="left"/>
    </xf>
    <xf numFmtId="167" fontId="3" fillId="3" borderId="0" xfId="2" applyNumberFormat="1" applyFont="1" applyFill="1" applyAlignment="1">
      <alignment horizontal="left"/>
    </xf>
    <xf numFmtId="167" fontId="0" fillId="3" borderId="0" xfId="2" applyNumberFormat="1" applyFont="1" applyFill="1" applyAlignment="1"/>
    <xf numFmtId="0" fontId="3" fillId="6" borderId="8" xfId="0" applyFont="1" applyFill="1" applyBorder="1" applyAlignment="1">
      <alignment horizontal="left" vertical="center"/>
    </xf>
    <xf numFmtId="0" fontId="3" fillId="6" borderId="9" xfId="0" applyFont="1" applyFill="1" applyBorder="1" applyAlignment="1">
      <alignment horizontal="left" vertical="center"/>
    </xf>
    <xf numFmtId="0" fontId="3" fillId="6" borderId="10" xfId="0" applyFont="1" applyFill="1" applyBorder="1" applyAlignment="1">
      <alignment horizontal="left" vertical="center"/>
    </xf>
  </cellXfs>
  <cellStyles count="4">
    <cellStyle name="Bad" xfId="1" builtinId="27"/>
    <cellStyle name="Comma" xfId="2" builtinId="3"/>
    <cellStyle name="Currency" xfId="3"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28573</xdr:rowOff>
    </xdr:from>
    <xdr:to>
      <xdr:col>0</xdr:col>
      <xdr:colOff>8648701</xdr:colOff>
      <xdr:row>80</xdr:row>
      <xdr:rowOff>95250</xdr:rowOff>
    </xdr:to>
    <xdr:sp macro="" textlink="">
      <xdr:nvSpPr>
        <xdr:cNvPr id="29697" name="Text Box 1"/>
        <xdr:cNvSpPr txBox="1">
          <a:spLocks noChangeArrowheads="1"/>
        </xdr:cNvSpPr>
      </xdr:nvSpPr>
      <xdr:spPr bwMode="auto">
        <a:xfrm>
          <a:off x="0" y="28573"/>
          <a:ext cx="8648701" cy="1302067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This workbook includes FY 2010-11 through FY 2014-15 data.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All worksheets are set up identically.  Most sections have a "comment tab" to the right of the section explaining how the data were retrieved or calculated.  To learn more about the definition of a particular section, move your cursor to the small </a:t>
          </a:r>
          <a:r>
            <a:rPr lang="en-US" sz="1000" b="1" i="0" u="none" strike="noStrike" baseline="0">
              <a:solidFill>
                <a:srgbClr val="FF0000"/>
              </a:solidFill>
              <a:latin typeface="Arial"/>
              <a:cs typeface="Arial"/>
            </a:rPr>
            <a:t>RED</a:t>
          </a:r>
          <a:r>
            <a:rPr lang="en-US" sz="1000" b="0" i="0" u="none" strike="noStrike" baseline="0">
              <a:solidFill>
                <a:srgbClr val="000000"/>
              </a:solidFill>
              <a:latin typeface="Arial"/>
              <a:cs typeface="Arial"/>
            </a:rPr>
            <a:t> triangle located at the upper left corner of the grey title box for that section.  These notes are also proved at the bottom of this page.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number of majors is based on both FIRST and SECOND majors.  Therefore, if a student has a double major, that student will be counted twice.  If a student changes majors during the year, the last declared major during that FY is what is reported.  All majors are retrieved from OIRPA Census file RES002 (PLUS) and RES044 (BANNER).  For this report, a student's full-time/part-time status is determined by their FT/PT status during the last semester of an academic year in which their enrollment was captured. If a student was enrolled during the Spring semester, which is the last semester of an academic year, then their FT/PT status of that semester classifies the student for the academic year.  However, if the student was not enrolled in the Spring, but was enrolled in the Fall, then there FT/PT status during the Fall semester classifies the student.</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Credit Hour Production data were retrieved from OIRPA census file RES003 (PLUS) and RES046 (BANNER); budget figures for expenditures were provided by Office of Vice President of Financial Affairs; and Faculty information was compiled using census file HR005 and VPAA data files (PLUS) and RES047 (BANNER).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Graduation data were retrieved using  RES054 (BANNER) and were collected by Classification of Instruction (CIP) codes.  A list of codes applicable to UNA follows: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09.0101    Rhetorical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09.0102    Mass Communication/Media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11.0101    Computer Science</a:t>
          </a:r>
        </a:p>
        <a:p>
          <a:pPr algn="l" rtl="0">
            <a:defRPr sz="1000"/>
          </a:pPr>
          <a:r>
            <a:rPr lang="en-US" sz="1000" b="0" i="0" u="none" strike="noStrike" baseline="0">
              <a:solidFill>
                <a:srgbClr val="000000"/>
              </a:solidFill>
              <a:latin typeface="Arial"/>
              <a:cs typeface="Arial"/>
            </a:rPr>
            <a:t>13.0101    Education General - EDS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13.0401    Education Administration</a:t>
          </a:r>
        </a:p>
        <a:p>
          <a:pPr algn="l" rtl="0">
            <a:defRPr sz="1000"/>
          </a:pPr>
          <a:r>
            <a:rPr lang="en-US" sz="1000" b="0" i="0" u="none" strike="noStrike" baseline="0">
              <a:solidFill>
                <a:srgbClr val="000000"/>
              </a:solidFill>
              <a:latin typeface="Arial"/>
              <a:cs typeface="Arial"/>
            </a:rPr>
            <a:t>13.1001    Special Education  </a:t>
          </a:r>
          <a:r>
            <a:rPr lang="en-US" sz="1000" b="0" i="0" u="none" strike="noStrike" baseline="0">
              <a:solidFill>
                <a:srgbClr val="FF0000"/>
              </a:solidFill>
              <a:latin typeface="Arial"/>
              <a:cs typeface="Arial"/>
            </a:rPr>
            <a:t>(deleted from ACHE inventory 12-09)</a:t>
          </a:r>
        </a:p>
        <a:p>
          <a:pPr algn="l" rtl="0">
            <a:defRPr sz="1000"/>
          </a:pPr>
          <a:r>
            <a:rPr lang="en-US" sz="1000" b="0" i="0" u="none" strike="noStrike" baseline="0">
              <a:solidFill>
                <a:srgbClr val="000000"/>
              </a:solidFill>
              <a:latin typeface="Arial"/>
              <a:cs typeface="Arial"/>
            </a:rPr>
            <a:t>13.1101    Counselor Education</a:t>
          </a:r>
        </a:p>
        <a:p>
          <a:pPr algn="l" rtl="0">
            <a:defRPr sz="1000"/>
          </a:pPr>
          <a:r>
            <a:rPr lang="en-US" sz="1000" b="0" i="0" u="none" strike="noStrike" baseline="0">
              <a:solidFill>
                <a:srgbClr val="000000"/>
              </a:solidFill>
              <a:latin typeface="Arial"/>
              <a:cs typeface="Arial"/>
            </a:rPr>
            <a:t>13.1202    Elementary Education</a:t>
          </a:r>
        </a:p>
        <a:p>
          <a:pPr algn="l" rtl="0">
            <a:defRPr sz="1000"/>
          </a:pPr>
          <a:r>
            <a:rPr lang="en-US" sz="1000" b="0" i="0" u="none" strike="noStrike" baseline="0">
              <a:solidFill>
                <a:srgbClr val="000000"/>
              </a:solidFill>
              <a:latin typeface="Arial"/>
              <a:cs typeface="Arial"/>
            </a:rPr>
            <a:t>13.1205    Secondary Education</a:t>
          </a:r>
        </a:p>
        <a:p>
          <a:pPr algn="l" rtl="0">
            <a:defRPr sz="1000"/>
          </a:pPr>
          <a:r>
            <a:rPr lang="en-US" sz="1000" b="0" i="0" u="none" strike="noStrike" baseline="0">
              <a:solidFill>
                <a:srgbClr val="000000"/>
              </a:solidFill>
              <a:latin typeface="Arial"/>
              <a:cs typeface="Arial"/>
            </a:rPr>
            <a:t>13.1206    Teacher Education Multiple Level N-12</a:t>
          </a:r>
        </a:p>
        <a:p>
          <a:pPr algn="l" rtl="0">
            <a:defRPr sz="1000"/>
          </a:pPr>
          <a:r>
            <a:rPr lang="en-US" sz="1000" b="0" i="0" u="none" strike="noStrike" baseline="0">
              <a:solidFill>
                <a:srgbClr val="000000"/>
              </a:solidFill>
              <a:latin typeface="Arial"/>
              <a:cs typeface="Arial"/>
            </a:rPr>
            <a:t>16.0101    Foreign Language</a:t>
          </a:r>
        </a:p>
        <a:p>
          <a:pPr algn="l" rtl="0">
            <a:defRPr sz="1000"/>
          </a:pPr>
          <a:r>
            <a:rPr lang="en-US" sz="1000" b="0" i="0" u="none" strike="noStrike" baseline="0">
              <a:solidFill>
                <a:srgbClr val="000000"/>
              </a:solidFill>
              <a:latin typeface="Arial"/>
              <a:cs typeface="Arial"/>
            </a:rPr>
            <a:t>19.0101    Human Environmental Sciences</a:t>
          </a:r>
        </a:p>
        <a:p>
          <a:pPr algn="l" rtl="0">
            <a:defRPr sz="1000"/>
          </a:pPr>
          <a:r>
            <a:rPr lang="en-US" sz="1000" b="0" i="0" u="none" strike="noStrike" baseline="0">
              <a:solidFill>
                <a:srgbClr val="000000"/>
              </a:solidFill>
              <a:latin typeface="Arial"/>
              <a:cs typeface="Arial"/>
            </a:rPr>
            <a:t>23.0101    English Language and Literature</a:t>
          </a:r>
        </a:p>
        <a:p>
          <a:pPr algn="l" rtl="0">
            <a:defRPr sz="1000"/>
          </a:pPr>
          <a:r>
            <a:rPr lang="en-US" sz="1000" b="0" i="0" u="none" strike="noStrike" baseline="0">
              <a:solidFill>
                <a:srgbClr val="000000"/>
              </a:solidFill>
              <a:latin typeface="Arial"/>
              <a:cs typeface="Arial"/>
            </a:rPr>
            <a:t>26.0101    Biology</a:t>
          </a:r>
        </a:p>
        <a:p>
          <a:pPr algn="l" rtl="0">
            <a:defRPr sz="1000"/>
          </a:pPr>
          <a:r>
            <a:rPr lang="en-US" sz="1000" b="0" i="0" u="none" strike="noStrike" baseline="0">
              <a:solidFill>
                <a:srgbClr val="000000"/>
              </a:solidFill>
              <a:latin typeface="Arial"/>
              <a:cs typeface="Arial"/>
            </a:rPr>
            <a:t>26.1302    Marine Biology</a:t>
          </a:r>
        </a:p>
        <a:p>
          <a:pPr algn="l" rtl="0">
            <a:defRPr sz="1000"/>
          </a:pPr>
          <a:r>
            <a:rPr lang="en-US" sz="1000" b="0" i="0" u="none" strike="noStrike" baseline="0">
              <a:solidFill>
                <a:srgbClr val="000000"/>
              </a:solidFill>
              <a:latin typeface="Arial"/>
              <a:cs typeface="Arial"/>
            </a:rPr>
            <a:t>27.0101    Mathematics</a:t>
          </a:r>
        </a:p>
        <a:p>
          <a:pPr algn="l" rtl="0">
            <a:defRPr sz="1000"/>
          </a:pPr>
          <a:r>
            <a:rPr lang="en-US" sz="1000" b="0" i="0" u="none" strike="noStrike" baseline="0">
              <a:solidFill>
                <a:srgbClr val="000000"/>
              </a:solidFill>
              <a:latin typeface="Arial"/>
              <a:cs typeface="Arial"/>
            </a:rPr>
            <a:t>30.0000    Multi/Interdisciplinary Studies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31.9999    Parks, Recreation, Leisure, and Fitness Studies</a:t>
          </a:r>
        </a:p>
        <a:p>
          <a:pPr algn="l" rtl="0">
            <a:defRPr sz="1000"/>
          </a:pPr>
          <a:r>
            <a:rPr lang="en-US" sz="1000" b="0" i="0" u="none" strike="noStrike" baseline="0">
              <a:solidFill>
                <a:srgbClr val="000000"/>
              </a:solidFill>
              <a:latin typeface="Arial"/>
              <a:cs typeface="Arial"/>
            </a:rPr>
            <a:t>31.9999    Health &amp; Human Performance </a:t>
          </a:r>
          <a:r>
            <a:rPr lang="en-US" sz="1000" b="0" i="0" u="none" strike="noStrike" baseline="0">
              <a:solidFill>
                <a:srgbClr val="FF0000"/>
              </a:solidFill>
              <a:latin typeface="Arial"/>
              <a:cs typeface="Arial"/>
            </a:rPr>
            <a:t>(MS added in 2010)</a:t>
          </a:r>
        </a:p>
        <a:p>
          <a:pPr algn="l" rtl="0">
            <a:defRPr sz="1000"/>
          </a:pPr>
          <a:r>
            <a:rPr lang="en-US" sz="1000" b="0" i="0" u="none" strike="noStrike" baseline="0">
              <a:solidFill>
                <a:srgbClr val="000000"/>
              </a:solidFill>
              <a:latin typeface="Arial"/>
              <a:cs typeface="Arial"/>
            </a:rPr>
            <a:t>40.0501    Chemistry</a:t>
          </a:r>
        </a:p>
        <a:p>
          <a:pPr algn="l" rtl="0">
            <a:defRPr sz="1000"/>
          </a:pPr>
          <a:r>
            <a:rPr lang="en-US" sz="1000" b="0" i="0" u="none" strike="noStrike" baseline="0">
              <a:solidFill>
                <a:srgbClr val="000000"/>
              </a:solidFill>
              <a:latin typeface="Arial"/>
              <a:cs typeface="Arial"/>
            </a:rPr>
            <a:t>40.0801    Physics</a:t>
          </a:r>
        </a:p>
        <a:p>
          <a:pPr algn="l" rtl="0">
            <a:defRPr sz="1000"/>
          </a:pPr>
          <a:r>
            <a:rPr lang="en-US" sz="1000" b="0" i="0" u="none" strike="noStrike" baseline="0">
              <a:solidFill>
                <a:srgbClr val="000000"/>
              </a:solidFill>
              <a:latin typeface="Arial"/>
              <a:cs typeface="Arial"/>
            </a:rPr>
            <a:t>40.9999    Industrial Hygiene</a:t>
          </a:r>
        </a:p>
        <a:p>
          <a:pPr algn="l" rtl="0">
            <a:defRPr sz="1000"/>
          </a:pPr>
          <a:r>
            <a:rPr lang="en-US" sz="1000" b="0" i="0" u="none" strike="noStrike" baseline="0">
              <a:solidFill>
                <a:srgbClr val="000000"/>
              </a:solidFill>
              <a:latin typeface="Arial"/>
              <a:cs typeface="Arial"/>
            </a:rPr>
            <a:t>42.0101    Psychology</a:t>
          </a:r>
        </a:p>
        <a:p>
          <a:pPr algn="l" rtl="0">
            <a:defRPr sz="1000"/>
          </a:pPr>
          <a:r>
            <a:rPr lang="en-US" sz="1000" b="0" i="0" u="none" strike="noStrike" baseline="0">
              <a:solidFill>
                <a:srgbClr val="000000"/>
              </a:solidFill>
              <a:latin typeface="Arial"/>
              <a:cs typeface="Arial"/>
            </a:rPr>
            <a:t>42.2803    Community Counseling</a:t>
          </a:r>
        </a:p>
        <a:p>
          <a:pPr algn="l" rtl="0">
            <a:defRPr sz="1000"/>
          </a:pPr>
          <a:r>
            <a:rPr lang="en-US" sz="1000" b="0" i="0" u="none" strike="noStrike" baseline="0">
              <a:solidFill>
                <a:srgbClr val="000000"/>
              </a:solidFill>
              <a:latin typeface="Arial"/>
              <a:cs typeface="Arial"/>
            </a:rPr>
            <a:t>43.0103    Criminal Justice</a:t>
          </a:r>
        </a:p>
        <a:p>
          <a:pPr algn="l" rtl="0">
            <a:defRPr sz="1000"/>
          </a:pPr>
          <a:r>
            <a:rPr lang="en-US" sz="1000" b="0" i="0" u="none" strike="noStrike" baseline="0">
              <a:solidFill>
                <a:srgbClr val="000000"/>
              </a:solidFill>
              <a:latin typeface="Arial"/>
              <a:cs typeface="Arial"/>
            </a:rPr>
            <a:t>44.0701    Social Work</a:t>
          </a:r>
        </a:p>
        <a:p>
          <a:pPr algn="l" rtl="0">
            <a:defRPr sz="1000"/>
          </a:pPr>
          <a:r>
            <a:rPr lang="en-US" sz="1000" b="0" i="0" u="none" strike="noStrike" baseline="0">
              <a:solidFill>
                <a:srgbClr val="000000"/>
              </a:solidFill>
              <a:latin typeface="Arial"/>
              <a:cs typeface="Arial"/>
            </a:rPr>
            <a:t>45.0101    Social Sciences</a:t>
          </a:r>
        </a:p>
        <a:p>
          <a:pPr algn="l" rtl="0">
            <a:defRPr sz="1000"/>
          </a:pPr>
          <a:r>
            <a:rPr lang="en-US" sz="1000" b="0" i="0" u="none" strike="noStrike" baseline="0">
              <a:solidFill>
                <a:srgbClr val="000000"/>
              </a:solidFill>
              <a:latin typeface="Arial"/>
              <a:cs typeface="Arial"/>
            </a:rPr>
            <a:t>45.0701    Geography</a:t>
          </a:r>
        </a:p>
        <a:p>
          <a:pPr algn="l" rtl="0">
            <a:defRPr sz="1000"/>
          </a:pPr>
          <a:r>
            <a:rPr lang="en-US" sz="1000" b="0" i="0" u="none" strike="noStrike" baseline="0">
              <a:solidFill>
                <a:srgbClr val="000000"/>
              </a:solidFill>
              <a:latin typeface="Arial"/>
              <a:cs typeface="Arial"/>
            </a:rPr>
            <a:t>45.0799    Geography Other./Geospatial Sciences </a:t>
          </a:r>
          <a:r>
            <a:rPr lang="en-US" sz="1000" b="0" i="0" u="none" strike="noStrike" baseline="0">
              <a:solidFill>
                <a:srgbClr val="FF0000"/>
              </a:solidFill>
              <a:latin typeface="Arial"/>
              <a:cs typeface="Arial"/>
            </a:rPr>
            <a:t>(MS added in 2010)</a:t>
          </a:r>
        </a:p>
        <a:p>
          <a:pPr algn="l" rtl="0">
            <a:defRPr sz="1000"/>
          </a:pPr>
          <a:r>
            <a:rPr lang="en-US" sz="1000" b="0" i="0" u="none" strike="noStrike" baseline="0">
              <a:solidFill>
                <a:srgbClr val="000000"/>
              </a:solidFill>
              <a:latin typeface="Arial"/>
              <a:cs typeface="Arial"/>
            </a:rPr>
            <a:t>45.1001    Political Science</a:t>
          </a:r>
        </a:p>
        <a:p>
          <a:pPr algn="l" rtl="0">
            <a:defRPr sz="1000"/>
          </a:pPr>
          <a:r>
            <a:rPr lang="en-US" sz="1000" b="0" i="0" u="none" strike="noStrike" baseline="0">
              <a:solidFill>
                <a:srgbClr val="000000"/>
              </a:solidFill>
              <a:latin typeface="Arial"/>
              <a:cs typeface="Arial"/>
            </a:rPr>
            <a:t>45.1101    Sociology</a:t>
          </a:r>
        </a:p>
        <a:p>
          <a:pPr algn="l" rtl="0">
            <a:defRPr sz="1000"/>
          </a:pPr>
          <a:r>
            <a:rPr lang="en-US" sz="1000" b="0" i="0" u="none" strike="noStrike" baseline="0">
              <a:solidFill>
                <a:srgbClr val="000000"/>
              </a:solidFill>
              <a:latin typeface="Arial"/>
              <a:cs typeface="Arial"/>
            </a:rPr>
            <a:t>50.0701    Art</a:t>
          </a:r>
        </a:p>
        <a:p>
          <a:pPr algn="l" rtl="0">
            <a:defRPr sz="1000"/>
          </a:pPr>
          <a:r>
            <a:rPr lang="en-US" sz="1000" b="0" i="0" u="none" strike="noStrike" baseline="0">
              <a:solidFill>
                <a:srgbClr val="000000"/>
              </a:solidFill>
              <a:latin typeface="Arial"/>
              <a:cs typeface="Arial"/>
            </a:rPr>
            <a:t>50.0901    Music</a:t>
          </a:r>
        </a:p>
        <a:p>
          <a:pPr algn="l" rtl="0">
            <a:defRPr sz="1000"/>
          </a:pPr>
          <a:r>
            <a:rPr lang="en-US" sz="1000" b="0" i="0" u="none" strike="noStrike" baseline="0">
              <a:solidFill>
                <a:srgbClr val="000000"/>
              </a:solidFill>
              <a:latin typeface="Arial"/>
              <a:cs typeface="Arial"/>
            </a:rPr>
            <a:t>50.1001   Music Management &amp; Merchandising - Entertainment Industry </a:t>
          </a:r>
          <a:r>
            <a:rPr lang="en-US" sz="1000" b="0" i="0" u="none" strike="noStrike" baseline="0">
              <a:solidFill>
                <a:srgbClr val="FF0000"/>
              </a:solidFill>
              <a:latin typeface="Arial"/>
              <a:cs typeface="Arial"/>
            </a:rPr>
            <a:t>(added in 2010)</a:t>
          </a:r>
        </a:p>
        <a:p>
          <a:pPr algn="l" rtl="0">
            <a:defRPr sz="1000"/>
          </a:pPr>
          <a:r>
            <a:rPr lang="en-US" sz="1000" b="0" i="0" u="none" strike="noStrike" baseline="0">
              <a:solidFill>
                <a:srgbClr val="000000"/>
              </a:solidFill>
              <a:latin typeface="Arial"/>
              <a:cs typeface="Arial"/>
            </a:rPr>
            <a:t>51.3801    Nursing</a:t>
          </a:r>
        </a:p>
        <a:p>
          <a:pPr algn="l" rtl="0">
            <a:defRPr sz="1000"/>
          </a:pPr>
          <a:r>
            <a:rPr lang="en-US" sz="1000" b="0" i="0" u="none" strike="noStrike" baseline="0">
              <a:solidFill>
                <a:srgbClr val="000000"/>
              </a:solidFill>
              <a:latin typeface="Arial"/>
              <a:cs typeface="Arial"/>
            </a:rPr>
            <a:t>52.0201    Business Administration</a:t>
          </a:r>
        </a:p>
        <a:p>
          <a:pPr algn="l" rtl="0">
            <a:defRPr sz="1000"/>
          </a:pPr>
          <a:r>
            <a:rPr lang="en-US" sz="1000" b="0" i="0" u="none" strike="noStrike" baseline="0">
              <a:solidFill>
                <a:srgbClr val="000000"/>
              </a:solidFill>
              <a:latin typeface="Arial"/>
              <a:cs typeface="Arial"/>
            </a:rPr>
            <a:t>52.0301    Accounting</a:t>
          </a:r>
        </a:p>
        <a:p>
          <a:pPr algn="l" rtl="0">
            <a:defRPr sz="1000"/>
          </a:pPr>
          <a:r>
            <a:rPr lang="en-US" sz="1000" b="0" i="0" u="none" strike="noStrike" baseline="0">
              <a:solidFill>
                <a:srgbClr val="000000"/>
              </a:solidFill>
              <a:latin typeface="Arial"/>
              <a:cs typeface="Arial"/>
            </a:rPr>
            <a:t>52.0601    Economics</a:t>
          </a:r>
        </a:p>
        <a:p>
          <a:pPr algn="l" rtl="0">
            <a:defRPr sz="1000"/>
          </a:pPr>
          <a:r>
            <a:rPr lang="en-US" sz="1000" b="0" i="0" u="none" strike="noStrike" baseline="0">
              <a:solidFill>
                <a:srgbClr val="000000"/>
              </a:solidFill>
              <a:latin typeface="Arial"/>
              <a:cs typeface="Arial"/>
            </a:rPr>
            <a:t>52.0801    Finance</a:t>
          </a:r>
        </a:p>
        <a:p>
          <a:pPr algn="l" rtl="0">
            <a:defRPr sz="1000"/>
          </a:pPr>
          <a:r>
            <a:rPr lang="en-US" sz="1000" b="0" i="0" u="none" strike="noStrike" baseline="0">
              <a:solidFill>
                <a:srgbClr val="000000"/>
              </a:solidFill>
              <a:latin typeface="Arial"/>
              <a:cs typeface="Arial"/>
            </a:rPr>
            <a:t>52.1201    Computer Information Systems</a:t>
          </a:r>
        </a:p>
        <a:p>
          <a:pPr algn="l" rtl="0">
            <a:defRPr sz="1000"/>
          </a:pPr>
          <a:r>
            <a:rPr lang="en-US" sz="1000" b="0" i="0" u="none" strike="noStrike" baseline="0">
              <a:solidFill>
                <a:srgbClr val="000000"/>
              </a:solidFill>
              <a:latin typeface="Arial"/>
              <a:cs typeface="Arial"/>
            </a:rPr>
            <a:t>52.1401    Marketing</a:t>
          </a:r>
        </a:p>
        <a:p>
          <a:pPr algn="l" rtl="0">
            <a:defRPr sz="1000"/>
          </a:pPr>
          <a:r>
            <a:rPr lang="en-US" sz="1000" b="0" i="0" u="none" strike="noStrike" baseline="0">
              <a:solidFill>
                <a:srgbClr val="000000"/>
              </a:solidFill>
              <a:latin typeface="Arial"/>
              <a:cs typeface="Arial"/>
            </a:rPr>
            <a:t>54.0101    History</a:t>
          </a:r>
        </a:p>
        <a:p>
          <a:pPr algn="l" rtl="0">
            <a:defRPr sz="1000"/>
          </a:pPr>
          <a:r>
            <a:rPr lang="en-US" sz="1000" b="0" i="0" u="none" strike="noStrike" baseline="0">
              <a:solidFill>
                <a:srgbClr val="000000"/>
              </a:solidFill>
              <a:latin typeface="Arial"/>
              <a:cs typeface="Arial"/>
            </a:rPr>
            <a:t>                                   </a:t>
          </a:r>
        </a:p>
        <a:p>
          <a:pPr algn="l" rtl="0">
            <a:defRPr sz="1000"/>
          </a:pPr>
          <a:endParaRPr lang="en-US" sz="1000" b="1" i="0" u="sng" strike="noStrike" baseline="0">
            <a:solidFill>
              <a:srgbClr val="000000"/>
            </a:solidFill>
            <a:latin typeface="Arial"/>
            <a:cs typeface="Arial"/>
          </a:endParaRPr>
        </a:p>
        <a:p>
          <a:pPr algn="l" rtl="0">
            <a:defRPr sz="1000"/>
          </a:pPr>
          <a:r>
            <a:rPr lang="en-US" sz="1000" b="1" i="0" u="sng" strike="noStrike" baseline="0">
              <a:solidFill>
                <a:srgbClr val="000000"/>
              </a:solidFill>
              <a:latin typeface="Arial"/>
              <a:cs typeface="Arial"/>
            </a:rPr>
            <a:t>Additional notes pertaining to sections within each department tab:</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3: Majors/Degrees Conferred Ratio </a:t>
          </a:r>
        </a:p>
        <a:p>
          <a:pPr algn="l" rtl="0">
            <a:defRPr sz="1000"/>
          </a:pPr>
          <a:r>
            <a:rPr lang="en-US" sz="1000" b="0" i="0" u="none" strike="noStrike" baseline="0">
              <a:solidFill>
                <a:srgbClr val="000000"/>
              </a:solidFill>
              <a:latin typeface="Arial"/>
              <a:cs typeface="Arial"/>
            </a:rPr>
            <a:t>  - This ratio equals the number of declared majors divided by the number of degrees conferred for the same fiscal year.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5: Average Class Size (Classes of 6 or more students)</a:t>
          </a:r>
        </a:p>
        <a:p>
          <a:pPr algn="l" rtl="0">
            <a:defRPr sz="1000"/>
          </a:pPr>
          <a:r>
            <a:rPr lang="en-US" sz="1000" b="0" i="0" u="none" strike="noStrike" baseline="0">
              <a:solidFill>
                <a:srgbClr val="000000"/>
              </a:solidFill>
              <a:latin typeface="Arial"/>
              <a:cs typeface="Arial"/>
            </a:rPr>
            <a:t> - Only class sections with 6 or more students enrolled were included in analyses.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6: Number of Faculty (Fall Semester)</a:t>
          </a:r>
        </a:p>
        <a:p>
          <a:pPr algn="l" rtl="0">
            <a:defRPr sz="1000"/>
          </a:pPr>
          <a:r>
            <a:rPr lang="en-US" sz="1000" b="0" i="0" u="none" strike="noStrike" baseline="0">
              <a:solidFill>
                <a:srgbClr val="000000"/>
              </a:solidFill>
              <a:latin typeface="Arial"/>
              <a:cs typeface="Arial"/>
            </a:rPr>
            <a:t> - FTE Faculty  equals the total number of Full-time Faculty plus one-third the number of Part-time Faculty (Fall Semester).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7: FTE Student/FTE Faculty Ratio</a:t>
          </a:r>
        </a:p>
        <a:p>
          <a:pPr algn="l" rtl="0">
            <a:defRPr sz="1000"/>
          </a:pPr>
          <a:r>
            <a:rPr lang="en-US" sz="1000" b="0" i="0" u="none" strike="noStrike" baseline="0">
              <a:solidFill>
                <a:srgbClr val="000000"/>
              </a:solidFill>
              <a:latin typeface="Arial"/>
              <a:cs typeface="Arial"/>
            </a:rPr>
            <a:t> - This ratio equals the number of FTE Students divided by the number of FTE Faculty (from section 6)</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8: Credit Hours/FTE Faculty Ratio</a:t>
          </a:r>
        </a:p>
        <a:p>
          <a:pPr algn="l" rtl="0">
            <a:defRPr sz="1000"/>
          </a:pPr>
          <a:r>
            <a:rPr lang="en-US" sz="1000" b="0" i="0" u="none" strike="noStrike" baseline="0">
              <a:solidFill>
                <a:srgbClr val="000000"/>
              </a:solidFill>
              <a:latin typeface="Arial"/>
              <a:cs typeface="Arial"/>
            </a:rPr>
            <a:t> - This ratio  equals the total number of credit hours produced by a department divided by the total FTE Faculty (from section 6) of a department.</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9: Department Expenditures (including Actual Personnel and Non-Personnel)</a:t>
          </a:r>
        </a:p>
        <a:p>
          <a:pPr algn="l" rtl="0">
            <a:defRPr sz="1000"/>
          </a:pPr>
          <a:r>
            <a:rPr lang="en-US" sz="1000" b="0" i="0" u="none" strike="noStrike" baseline="0">
              <a:solidFill>
                <a:srgbClr val="000000"/>
              </a:solidFill>
              <a:latin typeface="Arial"/>
              <a:cs typeface="Arial"/>
            </a:rPr>
            <a:t> - Actual expenditure data was provided by Office of Vice President of Financial Affairs. Does not include Summer School.</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 Section 10:  Cost Per Credit Hour (Total Department Expenditures/Total Credit Hours)</a:t>
          </a:r>
        </a:p>
        <a:p>
          <a:pPr algn="l" rtl="0">
            <a:defRPr sz="1000"/>
          </a:pPr>
          <a:r>
            <a:rPr lang="en-US" sz="1000" b="0" i="0" u="none" strike="noStrike" baseline="0">
              <a:solidFill>
                <a:srgbClr val="000000"/>
              </a:solidFill>
              <a:latin typeface="Arial"/>
              <a:cs typeface="Arial"/>
            </a:rPr>
            <a:t> - The Cost per Credit Hour is equal to the Total Departmental Expenditure (from section 9) divided by the total number of credit hours producted during         an academic year (from section 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6"/>
    <pageSetUpPr fitToPage="1"/>
  </sheetPr>
  <dimension ref="F26"/>
  <sheetViews>
    <sheetView tabSelected="1" zoomScaleNormal="100" zoomScaleSheetLayoutView="100" workbookViewId="0">
      <selection activeCell="E17" sqref="E17"/>
    </sheetView>
  </sheetViews>
  <sheetFormatPr defaultRowHeight="12.75" x14ac:dyDescent="0.2"/>
  <cols>
    <col min="1" max="1" width="130.5703125" style="2" customWidth="1"/>
    <col min="2" max="16384" width="9.140625" style="2"/>
  </cols>
  <sheetData>
    <row r="26" spans="6:6" x14ac:dyDescent="0.2">
      <c r="F26" s="2" t="s">
        <v>38</v>
      </c>
    </row>
  </sheetData>
  <phoneticPr fontId="2" type="noConversion"/>
  <printOptions horizontalCentered="1"/>
  <pageMargins left="0.75" right="0.75" top="0.5" bottom="0.5" header="0.5" footer="0.5"/>
  <pageSetup scale="69" orientation="portrait" r:id="rId1"/>
  <headerFooter alignWithMargins="0">
    <oddFooter>&amp;R&amp;8Prepared by:  OIRPA (kr)
&amp;F  &amp;A
1-4-10</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186" t="s">
        <v>33</v>
      </c>
      <c r="C1" s="188"/>
      <c r="D1" s="188"/>
      <c r="E1" s="189"/>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467</v>
      </c>
      <c r="C5" s="33">
        <v>480</v>
      </c>
      <c r="D5" s="32">
        <f>233+137</f>
        <v>370</v>
      </c>
      <c r="E5" s="32">
        <v>349</v>
      </c>
      <c r="F5" s="32">
        <v>341</v>
      </c>
      <c r="G5" s="34">
        <f>AVERAGE(B5:F5)</f>
        <v>401.4</v>
      </c>
    </row>
    <row r="6" spans="1:8" x14ac:dyDescent="0.2">
      <c r="A6" s="31" t="s">
        <v>3</v>
      </c>
      <c r="B6" s="32">
        <v>51</v>
      </c>
      <c r="C6" s="33">
        <v>64</v>
      </c>
      <c r="D6" s="32">
        <f>41</f>
        <v>41</v>
      </c>
      <c r="E6" s="32">
        <v>38</v>
      </c>
      <c r="F6" s="32">
        <v>52</v>
      </c>
      <c r="G6" s="34">
        <f>AVERAGE(B6:F6)</f>
        <v>49.2</v>
      </c>
    </row>
    <row r="7" spans="1:8" x14ac:dyDescent="0.2">
      <c r="A7" s="13" t="s">
        <v>4</v>
      </c>
      <c r="B7" s="14">
        <f>SUM(B5:B6)</f>
        <v>518</v>
      </c>
      <c r="C7" s="14">
        <f>SUM(C5:C6)</f>
        <v>544</v>
      </c>
      <c r="D7" s="14">
        <f>SUM(D5:D6)</f>
        <v>411</v>
      </c>
      <c r="E7" s="15">
        <f>SUM(E5:E6)</f>
        <v>387</v>
      </c>
      <c r="F7" s="15">
        <f>SUM(F5:F6)</f>
        <v>393</v>
      </c>
      <c r="G7" s="17">
        <f>AVERAGE(B7:F7)</f>
        <v>450.6</v>
      </c>
    </row>
    <row r="8" spans="1:8" ht="13.5" thickBot="1" x14ac:dyDescent="0.25">
      <c r="A8" s="35" t="s">
        <v>48</v>
      </c>
      <c r="B8" s="36">
        <f>B5+(B6/3)</f>
        <v>484</v>
      </c>
      <c r="C8" s="36">
        <f>C5+(C6/3)</f>
        <v>501.33333333333331</v>
      </c>
      <c r="D8" s="36">
        <f>D5+(D6/3)</f>
        <v>383.66666666666669</v>
      </c>
      <c r="E8" s="37">
        <f>E5+(E6/3)</f>
        <v>361.66666666666669</v>
      </c>
      <c r="F8" s="37">
        <f>F5+(F6/3)</f>
        <v>358.33333333333331</v>
      </c>
      <c r="G8" s="38">
        <f>AVERAGE(B8:F8)</f>
        <v>417.8</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32">
        <v>78</v>
      </c>
      <c r="C11" s="33">
        <v>77</v>
      </c>
      <c r="D11" s="32">
        <v>62</v>
      </c>
      <c r="E11" s="32">
        <v>68</v>
      </c>
      <c r="F11" s="32">
        <v>77</v>
      </c>
      <c r="G11" s="34">
        <f>AVERAGE(B11:F11)</f>
        <v>72.400000000000006</v>
      </c>
    </row>
    <row r="12" spans="1:8" x14ac:dyDescent="0.2">
      <c r="A12" s="31" t="s">
        <v>3</v>
      </c>
      <c r="B12" s="32">
        <v>142</v>
      </c>
      <c r="C12" s="33">
        <v>100</v>
      </c>
      <c r="D12" s="32">
        <v>76</v>
      </c>
      <c r="E12" s="32">
        <v>121</v>
      </c>
      <c r="F12" s="32">
        <v>96</v>
      </c>
      <c r="G12" s="34">
        <f>AVERAGE(B12:F12)</f>
        <v>107</v>
      </c>
    </row>
    <row r="13" spans="1:8" x14ac:dyDescent="0.2">
      <c r="A13" s="13" t="s">
        <v>4</v>
      </c>
      <c r="B13" s="14">
        <f>SUM(B11:B12)</f>
        <v>220</v>
      </c>
      <c r="C13" s="14">
        <f>SUM(C11:C12)</f>
        <v>177</v>
      </c>
      <c r="D13" s="14">
        <f>SUM(D11:D12)</f>
        <v>138</v>
      </c>
      <c r="E13" s="15">
        <f>SUM(E11:E12)</f>
        <v>189</v>
      </c>
      <c r="F13" s="14">
        <f>SUM(F11:F12)</f>
        <v>173</v>
      </c>
      <c r="G13" s="16">
        <f>AVERAGE(B13:F13)</f>
        <v>179.4</v>
      </c>
    </row>
    <row r="14" spans="1:8" ht="13.5" thickBot="1" x14ac:dyDescent="0.25">
      <c r="A14" s="39" t="s">
        <v>48</v>
      </c>
      <c r="B14" s="40">
        <f>B11+(B12/3)</f>
        <v>125.33333333333334</v>
      </c>
      <c r="C14" s="40">
        <f>C11+(C12/3)</f>
        <v>110.33333333333334</v>
      </c>
      <c r="D14" s="40">
        <f>D11+(D12/3)</f>
        <v>87.333333333333329</v>
      </c>
      <c r="E14" s="41">
        <f>E11+(E12/3)</f>
        <v>108.33333333333334</v>
      </c>
      <c r="F14" s="40">
        <f>F11+(F12/3)</f>
        <v>109</v>
      </c>
      <c r="G14" s="42">
        <f>AVERAGE(B14:F14)</f>
        <v>108.06666666666668</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37</v>
      </c>
      <c r="C18" s="32">
        <v>54</v>
      </c>
      <c r="D18" s="32">
        <v>52</v>
      </c>
      <c r="E18" s="32">
        <v>64</v>
      </c>
      <c r="F18" s="32">
        <v>48</v>
      </c>
      <c r="G18" s="45">
        <f>AVERAGE(B18:F18)</f>
        <v>51</v>
      </c>
    </row>
    <row r="19" spans="1:8" x14ac:dyDescent="0.2">
      <c r="A19" s="46" t="s">
        <v>63</v>
      </c>
      <c r="B19" s="47">
        <v>37</v>
      </c>
      <c r="C19" s="47">
        <v>45</v>
      </c>
      <c r="D19" s="47">
        <v>42</v>
      </c>
      <c r="E19" s="47">
        <v>62</v>
      </c>
      <c r="F19" s="47">
        <v>47</v>
      </c>
      <c r="G19" s="48">
        <f>AVERAGE(B19:F19)</f>
        <v>46.6</v>
      </c>
    </row>
    <row r="20" spans="1:8" ht="13.5" thickBot="1" x14ac:dyDescent="0.25">
      <c r="A20" s="49" t="s">
        <v>4</v>
      </c>
      <c r="B20" s="79">
        <f>B19+B18</f>
        <v>74</v>
      </c>
      <c r="C20" s="79">
        <f t="shared" ref="C20:F20" si="0">C19+C18</f>
        <v>99</v>
      </c>
      <c r="D20" s="79">
        <f t="shared" si="0"/>
        <v>94</v>
      </c>
      <c r="E20" s="79">
        <f t="shared" si="0"/>
        <v>126</v>
      </c>
      <c r="F20" s="79">
        <f t="shared" si="0"/>
        <v>95</v>
      </c>
      <c r="G20" s="51">
        <f>AVERAGE(B20:F20)</f>
        <v>97.6</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14</v>
      </c>
      <c r="C24" s="54">
        <f>C7/C18</f>
        <v>10.074074074074074</v>
      </c>
      <c r="D24" s="54">
        <f>D7/D18</f>
        <v>7.9038461538461542</v>
      </c>
      <c r="E24" s="54">
        <f>E7/E18</f>
        <v>6.046875</v>
      </c>
      <c r="F24" s="54">
        <f>F7/F18</f>
        <v>8.1875</v>
      </c>
      <c r="G24" s="45">
        <f>AVERAGE(B24:F24)</f>
        <v>9.2424590455840452</v>
      </c>
    </row>
    <row r="25" spans="1:8" ht="13.5" thickBot="1" x14ac:dyDescent="0.25">
      <c r="A25" s="55" t="s">
        <v>64</v>
      </c>
      <c r="B25" s="56">
        <f>B13/B19</f>
        <v>5.9459459459459456</v>
      </c>
      <c r="C25" s="56">
        <f>C13/C19</f>
        <v>3.9333333333333331</v>
      </c>
      <c r="D25" s="56">
        <f>D13/D19</f>
        <v>3.2857142857142856</v>
      </c>
      <c r="E25" s="56">
        <f>E13/E19</f>
        <v>3.0483870967741935</v>
      </c>
      <c r="F25" s="56">
        <f>F13/F19</f>
        <v>3.6808510638297873</v>
      </c>
      <c r="G25" s="57">
        <f>AVERAGE(B25:F25)</f>
        <v>3.9788463451195093</v>
      </c>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4683</v>
      </c>
      <c r="C29" s="61">
        <v>4805</v>
      </c>
      <c r="D29" s="61">
        <v>4259</v>
      </c>
      <c r="E29" s="61">
        <v>3767</v>
      </c>
      <c r="F29" s="61">
        <v>3311</v>
      </c>
      <c r="G29" s="62">
        <f>AVERAGE(B29:F29)</f>
        <v>4165</v>
      </c>
    </row>
    <row r="30" spans="1:8" x14ac:dyDescent="0.2">
      <c r="A30" s="60" t="s">
        <v>8</v>
      </c>
      <c r="B30" s="61">
        <v>2266</v>
      </c>
      <c r="C30" s="61">
        <v>1938</v>
      </c>
      <c r="D30" s="61">
        <v>1865</v>
      </c>
      <c r="E30" s="61">
        <v>2403</v>
      </c>
      <c r="F30" s="61">
        <v>1977</v>
      </c>
      <c r="G30" s="62">
        <f>AVERAGE(B30:F30)</f>
        <v>2089.8000000000002</v>
      </c>
    </row>
    <row r="31" spans="1:8" ht="13.5" thickBot="1" x14ac:dyDescent="0.25">
      <c r="A31" s="22" t="s">
        <v>4</v>
      </c>
      <c r="B31" s="23">
        <f>SUM(B29:B30)</f>
        <v>6949</v>
      </c>
      <c r="C31" s="23">
        <f>SUM(C29:C30)</f>
        <v>6743</v>
      </c>
      <c r="D31" s="23">
        <f>SUM(D29:D30)</f>
        <v>6124</v>
      </c>
      <c r="E31" s="23">
        <f>SUM(E29:E30)</f>
        <v>6170</v>
      </c>
      <c r="F31" s="23">
        <f>SUM(F29:F30)</f>
        <v>5288</v>
      </c>
      <c r="G31" s="24">
        <f>AVERAGE(B31:F31)</f>
        <v>6254.8</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80">
        <v>24</v>
      </c>
      <c r="C35" s="80">
        <v>22.3</v>
      </c>
      <c r="D35" s="63">
        <v>21.3</v>
      </c>
      <c r="E35" s="63">
        <v>18.600000000000001</v>
      </c>
      <c r="F35" s="63">
        <v>19.7</v>
      </c>
      <c r="G35" s="45">
        <f>AVERAGE(B35:F35)</f>
        <v>21.18</v>
      </c>
    </row>
    <row r="36" spans="1:8" ht="13.5" thickBot="1" x14ac:dyDescent="0.25">
      <c r="A36" s="64" t="s">
        <v>8</v>
      </c>
      <c r="B36" s="65">
        <v>21.5</v>
      </c>
      <c r="C36" s="65">
        <v>14.9</v>
      </c>
      <c r="D36" s="65">
        <v>15.1</v>
      </c>
      <c r="E36" s="65">
        <v>15.9</v>
      </c>
      <c r="F36" s="65">
        <v>14.8</v>
      </c>
      <c r="G36" s="57">
        <f>AVERAGE(B36:F36)</f>
        <v>16.440000000000001</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10</v>
      </c>
      <c r="C40" s="32">
        <v>10</v>
      </c>
      <c r="D40" s="32">
        <v>9</v>
      </c>
      <c r="E40" s="32">
        <v>9</v>
      </c>
      <c r="F40" s="32">
        <v>8</v>
      </c>
      <c r="G40" s="45">
        <f>AVERAGE(B40:F40)</f>
        <v>9.1999999999999993</v>
      </c>
    </row>
    <row r="41" spans="1:8" x14ac:dyDescent="0.2">
      <c r="A41" s="60" t="s">
        <v>3</v>
      </c>
      <c r="B41" s="32">
        <v>6</v>
      </c>
      <c r="C41" s="32">
        <v>5</v>
      </c>
      <c r="D41" s="32">
        <v>3</v>
      </c>
      <c r="E41" s="32">
        <v>6</v>
      </c>
      <c r="F41" s="32">
        <v>3</v>
      </c>
      <c r="G41" s="45">
        <f>AVERAGE(B41:F41)</f>
        <v>4.5999999999999996</v>
      </c>
    </row>
    <row r="42" spans="1:8" x14ac:dyDescent="0.2">
      <c r="A42" s="13" t="s">
        <v>4</v>
      </c>
      <c r="B42" s="14">
        <f>SUM(B40:B41)</f>
        <v>16</v>
      </c>
      <c r="C42" s="14">
        <f>SUM(C40:C41)</f>
        <v>15</v>
      </c>
      <c r="D42" s="14">
        <f>SUM(D40:D41)</f>
        <v>12</v>
      </c>
      <c r="E42" s="14">
        <f>SUM(E40:E41)</f>
        <v>15</v>
      </c>
      <c r="F42" s="14">
        <f>SUM(F40:F41)</f>
        <v>11</v>
      </c>
      <c r="G42" s="17">
        <f>AVERAGE(B42:F42)</f>
        <v>13.8</v>
      </c>
    </row>
    <row r="43" spans="1:8" ht="13.5" thickBot="1" x14ac:dyDescent="0.25">
      <c r="A43" s="39" t="s">
        <v>49</v>
      </c>
      <c r="B43" s="40">
        <f>B40+(B41/3)</f>
        <v>12</v>
      </c>
      <c r="C43" s="40">
        <f>C40+(C41/3)</f>
        <v>11.666666666666666</v>
      </c>
      <c r="D43" s="40">
        <f>D40+(D41/3)</f>
        <v>10</v>
      </c>
      <c r="E43" s="40">
        <f>E40+(E41/3)</f>
        <v>11</v>
      </c>
      <c r="F43" s="40">
        <f>F40+(F41/3)</f>
        <v>9</v>
      </c>
      <c r="G43" s="67">
        <f>AVERAGE(B43:F43)</f>
        <v>10.733333333333333</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50.777777777777779</v>
      </c>
      <c r="C47" s="56">
        <f>(C8+C14)/C43</f>
        <v>52.428571428571431</v>
      </c>
      <c r="D47" s="56">
        <f>(D8+D14)/D43</f>
        <v>47.1</v>
      </c>
      <c r="E47" s="56">
        <f>(E8+E14)/E43</f>
        <v>42.727272727272727</v>
      </c>
      <c r="F47" s="56">
        <f>(F8+F14)/F43</f>
        <v>51.925925925925924</v>
      </c>
      <c r="G47" s="57">
        <f>AVERAGE(B47:F47)</f>
        <v>48.991909571909574</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579.08333333333337</v>
      </c>
      <c r="C51" s="56">
        <f>C31/C43</f>
        <v>577.97142857142865</v>
      </c>
      <c r="D51" s="56">
        <f>D31/D43</f>
        <v>612.4</v>
      </c>
      <c r="E51" s="56">
        <f>E31/E43</f>
        <v>560.90909090909088</v>
      </c>
      <c r="F51" s="56">
        <f>F31/F43</f>
        <v>587.55555555555554</v>
      </c>
      <c r="G51" s="57">
        <f>AVERAGE(B51:F51)</f>
        <v>583.58388167388171</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1081507</v>
      </c>
      <c r="C55" s="73">
        <v>1111008.18</v>
      </c>
      <c r="D55" s="73">
        <f>987731.61+7720.77</f>
        <v>995452.38</v>
      </c>
      <c r="E55" s="73">
        <v>1004031</v>
      </c>
      <c r="F55" s="73">
        <v>966319</v>
      </c>
      <c r="G55" s="74">
        <f>AVERAGE(B55:F55)</f>
        <v>1031663.5119999999</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155.63491149805728</v>
      </c>
      <c r="C59" s="76">
        <f>C55/C31</f>
        <v>164.76467151119678</v>
      </c>
      <c r="D59" s="76">
        <f>D55/D31</f>
        <v>162.54937622468975</v>
      </c>
      <c r="E59" s="76">
        <f>E55/E31</f>
        <v>162.72787682333873</v>
      </c>
      <c r="F59" s="76">
        <f>F55/F31</f>
        <v>182.73808623298032</v>
      </c>
      <c r="G59" s="74">
        <f>AVERAGE(B59:F59)</f>
        <v>165.68298445805257</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90125.583333333328</v>
      </c>
      <c r="C63" s="75">
        <f t="shared" ref="C63:F63" si="1">C55/C43</f>
        <v>95229.272571428577</v>
      </c>
      <c r="D63" s="75">
        <f t="shared" si="1"/>
        <v>99545.237999999998</v>
      </c>
      <c r="E63" s="75">
        <f t="shared" si="1"/>
        <v>91275.545454545456</v>
      </c>
      <c r="F63" s="75">
        <f t="shared" si="1"/>
        <v>107368.77777777778</v>
      </c>
      <c r="G63" s="74">
        <f>AVERAGE(B63:F63)</f>
        <v>96708.883427417022</v>
      </c>
    </row>
  </sheetData>
  <mergeCells count="1">
    <mergeCell ref="B1:E1"/>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14</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s="99" customFormat="1" x14ac:dyDescent="0.2">
      <c r="A4" s="29" t="s">
        <v>0</v>
      </c>
      <c r="B4" s="4" t="s">
        <v>53</v>
      </c>
      <c r="C4" s="4" t="s">
        <v>55</v>
      </c>
      <c r="D4" s="4" t="s">
        <v>59</v>
      </c>
      <c r="E4" s="4" t="s">
        <v>60</v>
      </c>
      <c r="F4" s="4" t="s">
        <v>67</v>
      </c>
      <c r="G4" s="30" t="s">
        <v>1</v>
      </c>
      <c r="H4" s="3"/>
    </row>
    <row r="5" spans="1:8" x14ac:dyDescent="0.2">
      <c r="A5" s="31" t="s">
        <v>2</v>
      </c>
      <c r="B5" s="32">
        <v>121</v>
      </c>
      <c r="C5" s="33">
        <v>118</v>
      </c>
      <c r="D5" s="32">
        <v>105</v>
      </c>
      <c r="E5" s="32">
        <v>87</v>
      </c>
      <c r="F5" s="32">
        <v>89</v>
      </c>
      <c r="G5" s="34">
        <f>AVERAGE(B5:F5)</f>
        <v>104</v>
      </c>
    </row>
    <row r="6" spans="1:8" x14ac:dyDescent="0.2">
      <c r="A6" s="31" t="s">
        <v>3</v>
      </c>
      <c r="B6" s="32">
        <v>25</v>
      </c>
      <c r="C6" s="33">
        <v>22</v>
      </c>
      <c r="D6" s="32">
        <v>15</v>
      </c>
      <c r="E6" s="32">
        <v>23</v>
      </c>
      <c r="F6" s="32">
        <v>18</v>
      </c>
      <c r="G6" s="34">
        <f>AVERAGE(B6:F6)</f>
        <v>20.6</v>
      </c>
    </row>
    <row r="7" spans="1:8" x14ac:dyDescent="0.2">
      <c r="A7" s="13" t="s">
        <v>4</v>
      </c>
      <c r="B7" s="14">
        <f>SUM(B5:B6)</f>
        <v>146</v>
      </c>
      <c r="C7" s="14">
        <f>SUM(C5:C6)</f>
        <v>140</v>
      </c>
      <c r="D7" s="14">
        <f>SUM(D5:D6)</f>
        <v>120</v>
      </c>
      <c r="E7" s="15">
        <f>SUM(E5:E6)</f>
        <v>110</v>
      </c>
      <c r="F7" s="15">
        <f>SUM(F5:F6)</f>
        <v>107</v>
      </c>
      <c r="G7" s="17">
        <f>AVERAGE(B7:F7)</f>
        <v>124.6</v>
      </c>
    </row>
    <row r="8" spans="1:8" ht="13.5" thickBot="1" x14ac:dyDescent="0.25">
      <c r="A8" s="35" t="s">
        <v>48</v>
      </c>
      <c r="B8" s="36">
        <f>B5+(B6/3)</f>
        <v>129.33333333333334</v>
      </c>
      <c r="C8" s="36">
        <f>C5+(C6/3)</f>
        <v>125.33333333333333</v>
      </c>
      <c r="D8" s="36">
        <f>D5+(D6/3)</f>
        <v>110</v>
      </c>
      <c r="E8" s="37">
        <f>E5+(E6/3)</f>
        <v>94.666666666666671</v>
      </c>
      <c r="F8" s="37">
        <f>F5+(F6/3)</f>
        <v>95</v>
      </c>
      <c r="G8" s="38">
        <f>AVERAGE(B8:F8)</f>
        <v>110.86666666666667</v>
      </c>
    </row>
    <row r="9" spans="1:8" ht="7.5" customHeight="1" thickBot="1" x14ac:dyDescent="0.25">
      <c r="A9" s="9"/>
      <c r="B9" s="10"/>
      <c r="C9" s="10"/>
      <c r="D9" s="10"/>
      <c r="E9" s="11"/>
      <c r="F9" s="11"/>
      <c r="G9" s="12"/>
    </row>
    <row r="10" spans="1:8" s="99" customFormat="1" x14ac:dyDescent="0.2">
      <c r="A10" s="29" t="s">
        <v>5</v>
      </c>
      <c r="B10" s="121"/>
      <c r="C10" s="121"/>
      <c r="D10" s="121"/>
      <c r="E10" s="121"/>
      <c r="F10" s="121"/>
      <c r="G10" s="122"/>
      <c r="H10" s="3"/>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29"/>
      <c r="C14" s="129"/>
      <c r="D14" s="129"/>
      <c r="E14" s="130"/>
      <c r="F14" s="129"/>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19</v>
      </c>
      <c r="C18" s="32">
        <v>18</v>
      </c>
      <c r="D18" s="32">
        <v>18</v>
      </c>
      <c r="E18" s="32">
        <v>20</v>
      </c>
      <c r="F18" s="32">
        <v>14</v>
      </c>
      <c r="G18" s="45">
        <f>AVERAGE(B18:F18)</f>
        <v>17.8</v>
      </c>
    </row>
    <row r="19" spans="1:8" x14ac:dyDescent="0.2">
      <c r="A19" s="46" t="s">
        <v>63</v>
      </c>
      <c r="B19" s="117"/>
      <c r="C19" s="117"/>
      <c r="D19" s="117"/>
      <c r="E19" s="117"/>
      <c r="F19" s="117"/>
      <c r="G19" s="118"/>
    </row>
    <row r="20" spans="1:8" ht="13.5" thickBot="1" x14ac:dyDescent="0.25">
      <c r="A20" s="49" t="s">
        <v>4</v>
      </c>
      <c r="B20" s="79">
        <f>B19+B18</f>
        <v>19</v>
      </c>
      <c r="C20" s="79">
        <f t="shared" ref="C20:F20" si="0">C19+C18</f>
        <v>18</v>
      </c>
      <c r="D20" s="79">
        <f t="shared" si="0"/>
        <v>18</v>
      </c>
      <c r="E20" s="79">
        <f t="shared" si="0"/>
        <v>20</v>
      </c>
      <c r="F20" s="79">
        <f t="shared" si="0"/>
        <v>14</v>
      </c>
      <c r="G20" s="51">
        <f>AVERAGE(B20:F20)</f>
        <v>17.8</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7.6842105263157894</v>
      </c>
      <c r="C24" s="54">
        <f>C7/C18</f>
        <v>7.7777777777777777</v>
      </c>
      <c r="D24" s="54">
        <f>D7/D18</f>
        <v>6.666666666666667</v>
      </c>
      <c r="E24" s="54">
        <f>E7/E18</f>
        <v>5.5</v>
      </c>
      <c r="F24" s="54">
        <f>F7/F18</f>
        <v>7.6428571428571432</v>
      </c>
      <c r="G24" s="45">
        <f>AVERAGE(B24:F24)</f>
        <v>7.0543024227234756</v>
      </c>
    </row>
    <row r="25" spans="1:8" ht="13.5" thickBot="1" x14ac:dyDescent="0.25">
      <c r="A25" s="55" t="s">
        <v>64</v>
      </c>
      <c r="B25" s="133"/>
      <c r="C25" s="133"/>
      <c r="D25" s="133"/>
      <c r="E25" s="133"/>
      <c r="F25" s="133"/>
      <c r="G25" s="120"/>
    </row>
    <row r="26" spans="1:8" ht="9.9499999999999993" customHeight="1" thickBot="1" x14ac:dyDescent="0.25">
      <c r="A26" s="58"/>
      <c r="B26" s="58"/>
      <c r="C26" s="58"/>
      <c r="D26" s="58"/>
      <c r="E26" s="58"/>
      <c r="F26" s="58"/>
      <c r="G26" s="58"/>
      <c r="H26" s="58"/>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5121</v>
      </c>
      <c r="C29" s="61">
        <v>4941</v>
      </c>
      <c r="D29" s="61">
        <v>4833</v>
      </c>
      <c r="E29" s="61">
        <v>4251</v>
      </c>
      <c r="F29" s="61">
        <v>4077</v>
      </c>
      <c r="G29" s="62">
        <f>AVERAGE(B29:F29)</f>
        <v>4644.6000000000004</v>
      </c>
    </row>
    <row r="30" spans="1:8" x14ac:dyDescent="0.2">
      <c r="A30" s="60" t="s">
        <v>8</v>
      </c>
      <c r="B30" s="61">
        <v>6</v>
      </c>
      <c r="C30" s="61">
        <v>0</v>
      </c>
      <c r="D30" s="61">
        <v>3</v>
      </c>
      <c r="E30" s="61">
        <v>3</v>
      </c>
      <c r="F30" s="61">
        <v>0</v>
      </c>
      <c r="G30" s="62">
        <f>AVERAGE(B30:F30)</f>
        <v>2.4</v>
      </c>
    </row>
    <row r="31" spans="1:8" ht="13.5" thickBot="1" x14ac:dyDescent="0.25">
      <c r="A31" s="22" t="s">
        <v>4</v>
      </c>
      <c r="B31" s="23">
        <f>SUM(B29:B30)</f>
        <v>5127</v>
      </c>
      <c r="C31" s="23">
        <f>SUM(C29:C30)</f>
        <v>4941</v>
      </c>
      <c r="D31" s="23">
        <f>SUM(D29:D30)</f>
        <v>4836</v>
      </c>
      <c r="E31" s="23">
        <f>SUM(E29:E30)</f>
        <v>4254</v>
      </c>
      <c r="F31" s="23">
        <f>SUM(F29:F30)</f>
        <v>4077</v>
      </c>
      <c r="G31" s="24">
        <f>AVERAGE(B31:F31)</f>
        <v>4647</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22.3</v>
      </c>
      <c r="C35" s="32">
        <v>22.6</v>
      </c>
      <c r="D35" s="63">
        <v>23.2</v>
      </c>
      <c r="E35" s="63">
        <v>21.8</v>
      </c>
      <c r="F35" s="63">
        <v>21.5</v>
      </c>
      <c r="G35" s="62">
        <f>AVERAGE(B35:F35)</f>
        <v>22.28</v>
      </c>
    </row>
    <row r="36" spans="1:8" ht="13.5" thickBot="1" x14ac:dyDescent="0.25">
      <c r="A36" s="64" t="s">
        <v>8</v>
      </c>
      <c r="B36" s="119"/>
      <c r="C36" s="119"/>
      <c r="D36" s="119"/>
      <c r="E36" s="119"/>
      <c r="F36" s="119"/>
      <c r="G36" s="156"/>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8</v>
      </c>
      <c r="C40" s="32">
        <v>8</v>
      </c>
      <c r="D40" s="32">
        <v>8</v>
      </c>
      <c r="E40" s="32">
        <v>8</v>
      </c>
      <c r="F40" s="32">
        <v>8</v>
      </c>
      <c r="G40" s="45">
        <f>AVERAGE(B40:F40)</f>
        <v>8</v>
      </c>
    </row>
    <row r="41" spans="1:8" x14ac:dyDescent="0.2">
      <c r="A41" s="60" t="s">
        <v>3</v>
      </c>
      <c r="B41" s="32">
        <v>4</v>
      </c>
      <c r="C41" s="32">
        <v>3</v>
      </c>
      <c r="D41" s="32">
        <v>3</v>
      </c>
      <c r="E41" s="32">
        <v>4</v>
      </c>
      <c r="F41" s="32">
        <v>1</v>
      </c>
      <c r="G41" s="45">
        <f>AVERAGE(B41:F41)</f>
        <v>3</v>
      </c>
    </row>
    <row r="42" spans="1:8" x14ac:dyDescent="0.2">
      <c r="A42" s="13" t="s">
        <v>4</v>
      </c>
      <c r="B42" s="14">
        <f>SUM(B40:B41)</f>
        <v>12</v>
      </c>
      <c r="C42" s="14">
        <f>SUM(C40:C41)</f>
        <v>11</v>
      </c>
      <c r="D42" s="14">
        <f>SUM(D40:D41)</f>
        <v>11</v>
      </c>
      <c r="E42" s="14">
        <f>SUM(E40:E41)</f>
        <v>12</v>
      </c>
      <c r="F42" s="14">
        <f>SUM(F40:F41)</f>
        <v>9</v>
      </c>
      <c r="G42" s="17">
        <f>AVERAGE(B42:F42)</f>
        <v>11</v>
      </c>
    </row>
    <row r="43" spans="1:8" ht="13.5" thickBot="1" x14ac:dyDescent="0.25">
      <c r="A43" s="39" t="s">
        <v>49</v>
      </c>
      <c r="B43" s="40">
        <f>B40+(B41/3)</f>
        <v>9.3333333333333339</v>
      </c>
      <c r="C43" s="40">
        <f>C40+(C41/3)</f>
        <v>9</v>
      </c>
      <c r="D43" s="40">
        <f>D40+(D41/3)</f>
        <v>9</v>
      </c>
      <c r="E43" s="40">
        <f>E40+(E41/3)</f>
        <v>9.3333333333333339</v>
      </c>
      <c r="F43" s="40">
        <f>F40+(F41/3)</f>
        <v>8.3333333333333339</v>
      </c>
      <c r="G43" s="67">
        <f>AVERAGE(B43:F43)</f>
        <v>9.0000000000000018</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13.857142857142858</v>
      </c>
      <c r="C47" s="56">
        <f>(C8+C14)/C43</f>
        <v>13.925925925925926</v>
      </c>
      <c r="D47" s="56">
        <f>(D8+D14)/D43</f>
        <v>12.222222222222221</v>
      </c>
      <c r="E47" s="56">
        <f>(E8+E14)/E43</f>
        <v>10.142857142857142</v>
      </c>
      <c r="F47" s="56">
        <f>(F8+F14)/F43</f>
        <v>11.399999999999999</v>
      </c>
      <c r="G47" s="57">
        <f>AVERAGE(B47:F47)</f>
        <v>12.309629629629629</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549.32142857142856</v>
      </c>
      <c r="C51" s="56">
        <f>C31/C43</f>
        <v>549</v>
      </c>
      <c r="D51" s="56">
        <f>D31/D43</f>
        <v>537.33333333333337</v>
      </c>
      <c r="E51" s="56">
        <f>E31/E43</f>
        <v>455.78571428571428</v>
      </c>
      <c r="F51" s="56">
        <f>F31/F43</f>
        <v>489.23999999999995</v>
      </c>
      <c r="G51" s="57">
        <f>AVERAGE(B51:F51)</f>
        <v>516.13609523809521</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801371</v>
      </c>
      <c r="C55" s="73">
        <f>810287+8477</f>
        <v>818764</v>
      </c>
      <c r="D55" s="73">
        <f>809809.64+14731.73</f>
        <v>824541.37</v>
      </c>
      <c r="E55" s="73">
        <v>833228</v>
      </c>
      <c r="F55" s="73">
        <v>821563</v>
      </c>
      <c r="G55" s="101">
        <f>AVERAGE(B55:F55)</f>
        <v>819893.47400000005</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156.30407645796762</v>
      </c>
      <c r="C59" s="76">
        <f>C55/C31</f>
        <v>165.70815624367538</v>
      </c>
      <c r="D59" s="76">
        <f>D55/D31</f>
        <v>170.50069685690653</v>
      </c>
      <c r="E59" s="76">
        <f>E55/E31</f>
        <v>195.86929948283969</v>
      </c>
      <c r="F59" s="76">
        <f>F55/F31</f>
        <v>201.51165072357125</v>
      </c>
      <c r="G59" s="74">
        <f>AVERAGE(B59:F59)</f>
        <v>177.97877595299209</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85861.178571428565</v>
      </c>
      <c r="C63" s="75">
        <f t="shared" ref="C63:F63" si="1">C55/C43</f>
        <v>90973.777777777781</v>
      </c>
      <c r="D63" s="75">
        <f t="shared" si="1"/>
        <v>91615.707777777774</v>
      </c>
      <c r="E63" s="75">
        <f t="shared" si="1"/>
        <v>89274.428571428565</v>
      </c>
      <c r="F63" s="75">
        <f t="shared" si="1"/>
        <v>98587.56</v>
      </c>
      <c r="G63" s="74">
        <f>AVERAGE(B63:F63)</f>
        <v>91262.530539682528</v>
      </c>
    </row>
  </sheetData>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15</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295</v>
      </c>
      <c r="C5" s="33">
        <v>269</v>
      </c>
      <c r="D5" s="32">
        <v>270</v>
      </c>
      <c r="E5" s="32">
        <v>253</v>
      </c>
      <c r="F5" s="32">
        <v>245</v>
      </c>
      <c r="G5" s="34">
        <f>AVERAGE(B5:F5)</f>
        <v>266.39999999999998</v>
      </c>
    </row>
    <row r="6" spans="1:8" x14ac:dyDescent="0.2">
      <c r="A6" s="31" t="s">
        <v>3</v>
      </c>
      <c r="B6" s="32">
        <v>47</v>
      </c>
      <c r="C6" s="33">
        <v>47</v>
      </c>
      <c r="D6" s="32">
        <v>47</v>
      </c>
      <c r="E6" s="32">
        <v>47</v>
      </c>
      <c r="F6" s="32">
        <v>51</v>
      </c>
      <c r="G6" s="34">
        <f>AVERAGE(B6:F6)</f>
        <v>47.8</v>
      </c>
    </row>
    <row r="7" spans="1:8" x14ac:dyDescent="0.2">
      <c r="A7" s="13" t="s">
        <v>4</v>
      </c>
      <c r="B7" s="14">
        <f>SUM(B5:B6)</f>
        <v>342</v>
      </c>
      <c r="C7" s="14">
        <f>SUM(C5:C6)</f>
        <v>316</v>
      </c>
      <c r="D7" s="14">
        <f>SUM(D5:D6)</f>
        <v>317</v>
      </c>
      <c r="E7" s="15">
        <f>SUM(E5:E6)</f>
        <v>300</v>
      </c>
      <c r="F7" s="15">
        <f>SUM(F5:F6)</f>
        <v>296</v>
      </c>
      <c r="G7" s="17">
        <f>AVERAGE(B7:F7)</f>
        <v>314.2</v>
      </c>
    </row>
    <row r="8" spans="1:8" ht="13.5" thickBot="1" x14ac:dyDescent="0.25">
      <c r="A8" s="35" t="s">
        <v>48</v>
      </c>
      <c r="B8" s="36">
        <f>B5+(B6/3)</f>
        <v>310.66666666666669</v>
      </c>
      <c r="C8" s="36">
        <f>C5+(C6/3)</f>
        <v>284.66666666666669</v>
      </c>
      <c r="D8" s="36">
        <f>D5+(D6/3)</f>
        <v>285.66666666666669</v>
      </c>
      <c r="E8" s="37">
        <f>E5+(E6/3)</f>
        <v>268.66666666666669</v>
      </c>
      <c r="F8" s="37">
        <f>F5+(F6/3)</f>
        <v>262</v>
      </c>
      <c r="G8" s="38">
        <f>AVERAGE(B8:F8)</f>
        <v>282.33333333333337</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48"/>
      <c r="C14" s="148"/>
      <c r="D14" s="148"/>
      <c r="E14" s="149"/>
      <c r="F14" s="148"/>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41</v>
      </c>
      <c r="C18" s="32">
        <v>30</v>
      </c>
      <c r="D18" s="32">
        <v>37</v>
      </c>
      <c r="E18" s="32">
        <v>36</v>
      </c>
      <c r="F18" s="32">
        <v>40</v>
      </c>
      <c r="G18" s="45">
        <f>AVERAGE(B18:F18)</f>
        <v>36.799999999999997</v>
      </c>
    </row>
    <row r="19" spans="1:8" x14ac:dyDescent="0.2">
      <c r="A19" s="46" t="s">
        <v>63</v>
      </c>
      <c r="B19" s="117"/>
      <c r="C19" s="117"/>
      <c r="D19" s="117"/>
      <c r="E19" s="117"/>
      <c r="F19" s="117"/>
      <c r="G19" s="118"/>
    </row>
    <row r="20" spans="1:8" ht="13.5" thickBot="1" x14ac:dyDescent="0.25">
      <c r="A20" s="49" t="s">
        <v>4</v>
      </c>
      <c r="B20" s="79">
        <f>B19+B18</f>
        <v>41</v>
      </c>
      <c r="C20" s="79">
        <f t="shared" ref="C20:F20" si="0">C19+C18</f>
        <v>30</v>
      </c>
      <c r="D20" s="79">
        <f t="shared" si="0"/>
        <v>37</v>
      </c>
      <c r="E20" s="79">
        <f t="shared" si="0"/>
        <v>36</v>
      </c>
      <c r="F20" s="79">
        <f t="shared" si="0"/>
        <v>40</v>
      </c>
      <c r="G20" s="51">
        <f>AVERAGE(B20:F20)</f>
        <v>36.799999999999997</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8.3414634146341466</v>
      </c>
      <c r="C24" s="54">
        <f>C7/C18</f>
        <v>10.533333333333333</v>
      </c>
      <c r="D24" s="54">
        <f>D7/D18</f>
        <v>8.5675675675675684</v>
      </c>
      <c r="E24" s="54">
        <f>E7/E18</f>
        <v>8.3333333333333339</v>
      </c>
      <c r="F24" s="54">
        <f>F7/F18</f>
        <v>7.4</v>
      </c>
      <c r="G24" s="45">
        <f>AVERAGE(B24:F24)</f>
        <v>8.6351395297736762</v>
      </c>
    </row>
    <row r="25" spans="1:8" ht="13.5" thickBot="1" x14ac:dyDescent="0.25">
      <c r="A25" s="55" t="s">
        <v>64</v>
      </c>
      <c r="B25" s="133"/>
      <c r="C25" s="133"/>
      <c r="D25" s="133"/>
      <c r="E25" s="133"/>
      <c r="F25" s="133"/>
      <c r="G25" s="120"/>
    </row>
    <row r="26" spans="1:8" ht="9.9499999999999993" customHeight="1" thickBot="1" x14ac:dyDescent="0.25">
      <c r="A26" s="58"/>
      <c r="B26" s="58"/>
      <c r="C26" s="58"/>
      <c r="D26" s="58"/>
      <c r="E26" s="58"/>
      <c r="F26" s="58"/>
      <c r="G26" s="58"/>
      <c r="H26" s="58"/>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97">
        <v>9407</v>
      </c>
      <c r="C29" s="97">
        <v>9281</v>
      </c>
      <c r="D29" s="61">
        <v>9100</v>
      </c>
      <c r="E29" s="61">
        <v>9055</v>
      </c>
      <c r="F29" s="61">
        <v>8850</v>
      </c>
      <c r="G29" s="62">
        <f>AVERAGE(B29:F29)</f>
        <v>9138.6</v>
      </c>
    </row>
    <row r="30" spans="1:8" x14ac:dyDescent="0.2">
      <c r="A30" s="60" t="s">
        <v>8</v>
      </c>
      <c r="B30" s="97">
        <v>66</v>
      </c>
      <c r="C30" s="97">
        <v>88</v>
      </c>
      <c r="D30" s="61">
        <v>22</v>
      </c>
      <c r="E30" s="61">
        <v>17</v>
      </c>
      <c r="F30" s="61">
        <v>28</v>
      </c>
      <c r="G30" s="62">
        <f>AVERAGE(B30:F30)</f>
        <v>44.2</v>
      </c>
    </row>
    <row r="31" spans="1:8" ht="13.5" thickBot="1" x14ac:dyDescent="0.25">
      <c r="A31" s="22" t="s">
        <v>4</v>
      </c>
      <c r="B31" s="25">
        <f>SUM(B29:B30)</f>
        <v>9473</v>
      </c>
      <c r="C31" s="25">
        <f>SUM(C29:C30)</f>
        <v>9369</v>
      </c>
      <c r="D31" s="25">
        <f>SUM(D29:D30)</f>
        <v>9122</v>
      </c>
      <c r="E31" s="25">
        <f>SUM(E29:E30)</f>
        <v>9072</v>
      </c>
      <c r="F31" s="25">
        <f>SUM(F29:F30)</f>
        <v>8878</v>
      </c>
      <c r="G31" s="24">
        <f>AVERAGE(B31:F31)</f>
        <v>9182.7999999999993</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27.6</v>
      </c>
      <c r="C35" s="32">
        <v>25.7</v>
      </c>
      <c r="D35" s="63">
        <v>23.2</v>
      </c>
      <c r="E35" s="63">
        <v>25.4</v>
      </c>
      <c r="F35" s="157">
        <v>25.02</v>
      </c>
      <c r="G35" s="45">
        <f>AVERAGE(B35:F35)</f>
        <v>25.384</v>
      </c>
    </row>
    <row r="36" spans="1:8" ht="13.5" thickBot="1" x14ac:dyDescent="0.25">
      <c r="A36" s="64" t="s">
        <v>8</v>
      </c>
      <c r="B36" s="119"/>
      <c r="C36" s="65">
        <v>8</v>
      </c>
      <c r="D36" s="119"/>
      <c r="E36" s="119"/>
      <c r="F36" s="119"/>
      <c r="G36" s="57">
        <f>AVERAGE(B36:F36)</f>
        <v>8</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13</v>
      </c>
      <c r="C40" s="32">
        <v>13</v>
      </c>
      <c r="D40" s="32">
        <v>13</v>
      </c>
      <c r="E40" s="32">
        <v>13</v>
      </c>
      <c r="F40" s="32">
        <v>15</v>
      </c>
      <c r="G40" s="45">
        <f>AVERAGE(B40:F40)</f>
        <v>13.4</v>
      </c>
    </row>
    <row r="41" spans="1:8" x14ac:dyDescent="0.2">
      <c r="A41" s="60" t="s">
        <v>3</v>
      </c>
      <c r="B41" s="32">
        <v>3</v>
      </c>
      <c r="C41" s="32">
        <v>1</v>
      </c>
      <c r="D41" s="32">
        <v>2</v>
      </c>
      <c r="E41" s="32">
        <v>2</v>
      </c>
      <c r="F41" s="32">
        <v>2</v>
      </c>
      <c r="G41" s="45">
        <f>AVERAGE(B41:F41)</f>
        <v>2</v>
      </c>
    </row>
    <row r="42" spans="1:8" x14ac:dyDescent="0.2">
      <c r="A42" s="13" t="s">
        <v>4</v>
      </c>
      <c r="B42" s="14">
        <f>SUM(B40:B41)</f>
        <v>16</v>
      </c>
      <c r="C42" s="14">
        <f>SUM(C40:C41)</f>
        <v>14</v>
      </c>
      <c r="D42" s="14">
        <f>SUM(D40:D41)</f>
        <v>15</v>
      </c>
      <c r="E42" s="14">
        <f>SUM(E40:E41)</f>
        <v>15</v>
      </c>
      <c r="F42" s="14">
        <f>SUM(F40:F41)</f>
        <v>17</v>
      </c>
      <c r="G42" s="17">
        <f>AVERAGE(B42:F42)</f>
        <v>15.4</v>
      </c>
    </row>
    <row r="43" spans="1:8" ht="13.5" thickBot="1" x14ac:dyDescent="0.25">
      <c r="A43" s="39" t="s">
        <v>49</v>
      </c>
      <c r="B43" s="40">
        <f>B40+(B41/3)</f>
        <v>14</v>
      </c>
      <c r="C43" s="40">
        <f>C40+(C41/3)</f>
        <v>13.333333333333334</v>
      </c>
      <c r="D43" s="40">
        <f>D40+(D41/3)</f>
        <v>13.666666666666666</v>
      </c>
      <c r="E43" s="40">
        <f>E40+(E41/3)</f>
        <v>13.666666666666666</v>
      </c>
      <c r="F43" s="40">
        <f>F40+(F41/3)</f>
        <v>15.666666666666666</v>
      </c>
      <c r="G43" s="67">
        <f>AVERAGE(B43:F43)</f>
        <v>14.066666666666666</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22.190476190476193</v>
      </c>
      <c r="C47" s="56">
        <f>(C8+C14)/C43</f>
        <v>21.35</v>
      </c>
      <c r="D47" s="56">
        <f>(D8+D14)/D43</f>
        <v>20.902439024390247</v>
      </c>
      <c r="E47" s="56">
        <f>(E8+E14)/E43</f>
        <v>19.658536585365855</v>
      </c>
      <c r="F47" s="56">
        <f>(F8+F14)/F43</f>
        <v>16.723404255319149</v>
      </c>
      <c r="G47" s="57">
        <f>AVERAGE(B47:F47)</f>
        <v>20.164971211110291</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676.64285714285711</v>
      </c>
      <c r="C51" s="56">
        <f>C31/C43</f>
        <v>702.67499999999995</v>
      </c>
      <c r="D51" s="56">
        <f>D31/D43</f>
        <v>667.46341463414637</v>
      </c>
      <c r="E51" s="56">
        <f>E31/E43</f>
        <v>663.80487804878055</v>
      </c>
      <c r="F51" s="56">
        <f>F31/F43</f>
        <v>566.68085106382978</v>
      </c>
      <c r="G51" s="57">
        <f>AVERAGE(B51:F51)</f>
        <v>655.45340017792273</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1140996</v>
      </c>
      <c r="C55" s="73">
        <f>1251288.22+69494.36</f>
        <v>1320782.58</v>
      </c>
      <c r="D55" s="73">
        <f>1265079.09+92114</f>
        <v>1357193.09</v>
      </c>
      <c r="E55" s="73">
        <v>1342488</v>
      </c>
      <c r="F55" s="73">
        <v>1426774</v>
      </c>
      <c r="G55" s="74">
        <f>AVERAGE(B55:F55)</f>
        <v>1317646.7339999999</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120.44716562862874</v>
      </c>
      <c r="C59" s="76">
        <f>C55/C31</f>
        <v>140.97369836695486</v>
      </c>
      <c r="D59" s="76">
        <f>D55/D31</f>
        <v>148.78240407805308</v>
      </c>
      <c r="E59" s="76">
        <f>E55/E31</f>
        <v>147.9814814814815</v>
      </c>
      <c r="F59" s="76">
        <f>F55/F31</f>
        <v>160.70894345573328</v>
      </c>
      <c r="G59" s="74">
        <f>AVERAGE(B59:F59)</f>
        <v>143.77873860217028</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81499.71428571429</v>
      </c>
      <c r="C63" s="75">
        <f t="shared" ref="C63:F63" si="1">C55/C43</f>
        <v>99058.693499999994</v>
      </c>
      <c r="D63" s="75">
        <f t="shared" si="1"/>
        <v>99306.811463414648</v>
      </c>
      <c r="E63" s="75">
        <f t="shared" si="1"/>
        <v>98230.829268292684</v>
      </c>
      <c r="F63" s="75">
        <f t="shared" si="1"/>
        <v>91070.680851063837</v>
      </c>
      <c r="G63" s="74">
        <f>AVERAGE(B63:F63)</f>
        <v>93833.345873697108</v>
      </c>
    </row>
  </sheetData>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23</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113</v>
      </c>
      <c r="C5" s="33">
        <v>135</v>
      </c>
      <c r="D5" s="32">
        <v>151</v>
      </c>
      <c r="E5" s="32">
        <v>155</v>
      </c>
      <c r="F5" s="32">
        <v>158</v>
      </c>
      <c r="G5" s="34">
        <f>AVERAGE(B5:F5)</f>
        <v>142.4</v>
      </c>
    </row>
    <row r="6" spans="1:8" x14ac:dyDescent="0.2">
      <c r="A6" s="31" t="s">
        <v>3</v>
      </c>
      <c r="B6" s="32">
        <v>28</v>
      </c>
      <c r="C6" s="33">
        <v>24</v>
      </c>
      <c r="D6" s="32">
        <v>27</v>
      </c>
      <c r="E6" s="32">
        <v>24</v>
      </c>
      <c r="F6" s="32">
        <v>24</v>
      </c>
      <c r="G6" s="34">
        <f>AVERAGE(B6:F6)</f>
        <v>25.4</v>
      </c>
    </row>
    <row r="7" spans="1:8" x14ac:dyDescent="0.2">
      <c r="A7" s="13" t="s">
        <v>4</v>
      </c>
      <c r="B7" s="14">
        <f>SUM(B5:B6)</f>
        <v>141</v>
      </c>
      <c r="C7" s="14">
        <f>SUM(C5:C6)</f>
        <v>159</v>
      </c>
      <c r="D7" s="14">
        <f>SUM(D5:D6)</f>
        <v>178</v>
      </c>
      <c r="E7" s="15">
        <f>SUM(E5:E6)</f>
        <v>179</v>
      </c>
      <c r="F7" s="15">
        <f>SUM(F5:F6)</f>
        <v>182</v>
      </c>
      <c r="G7" s="17">
        <f>AVERAGE(B7:F7)</f>
        <v>167.8</v>
      </c>
    </row>
    <row r="8" spans="1:8" ht="13.5" thickBot="1" x14ac:dyDescent="0.25">
      <c r="A8" s="35" t="s">
        <v>48</v>
      </c>
      <c r="B8" s="36">
        <f>B5+(B6/3)</f>
        <v>122.33333333333333</v>
      </c>
      <c r="C8" s="36">
        <f>C5+(C6/3)</f>
        <v>143</v>
      </c>
      <c r="D8" s="36">
        <f>D5+(D6/3)</f>
        <v>160</v>
      </c>
      <c r="E8" s="37">
        <f>E5+(E6/3)</f>
        <v>163</v>
      </c>
      <c r="F8" s="37">
        <f>F5+(F6/3)</f>
        <v>166</v>
      </c>
      <c r="G8" s="38">
        <f>AVERAGE(B8:F8)</f>
        <v>150.86666666666665</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48"/>
      <c r="C14" s="148"/>
      <c r="D14" s="148"/>
      <c r="E14" s="149"/>
      <c r="F14" s="148"/>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14</v>
      </c>
      <c r="C18" s="32">
        <v>29</v>
      </c>
      <c r="D18" s="94">
        <v>19</v>
      </c>
      <c r="E18" s="94">
        <v>32</v>
      </c>
      <c r="F18" s="94">
        <v>23</v>
      </c>
      <c r="G18" s="45">
        <f>AVERAGE(B18:F18)</f>
        <v>23.4</v>
      </c>
    </row>
    <row r="19" spans="1:8" x14ac:dyDescent="0.2">
      <c r="A19" s="46" t="s">
        <v>63</v>
      </c>
      <c r="B19" s="117"/>
      <c r="C19" s="117"/>
      <c r="D19" s="117"/>
      <c r="E19" s="117"/>
      <c r="F19" s="117"/>
      <c r="G19" s="118"/>
    </row>
    <row r="20" spans="1:8" ht="13.5" thickBot="1" x14ac:dyDescent="0.25">
      <c r="A20" s="49" t="s">
        <v>4</v>
      </c>
      <c r="B20" s="79">
        <f>B19+B18</f>
        <v>14</v>
      </c>
      <c r="C20" s="79">
        <f t="shared" ref="C20:F20" si="0">C19+C18</f>
        <v>29</v>
      </c>
      <c r="D20" s="79">
        <f t="shared" si="0"/>
        <v>19</v>
      </c>
      <c r="E20" s="79">
        <f t="shared" si="0"/>
        <v>32</v>
      </c>
      <c r="F20" s="79">
        <f t="shared" si="0"/>
        <v>23</v>
      </c>
      <c r="G20" s="51">
        <f>AVERAGE(B20:F20)</f>
        <v>23.4</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10.071428571428571</v>
      </c>
      <c r="C24" s="54">
        <f>C7/C18</f>
        <v>5.4827586206896548</v>
      </c>
      <c r="D24" s="54">
        <f>D7/D18</f>
        <v>9.3684210526315788</v>
      </c>
      <c r="E24" s="54">
        <f>E7/E18</f>
        <v>5.59375</v>
      </c>
      <c r="F24" s="54">
        <f>F7/F18</f>
        <v>7.9130434782608692</v>
      </c>
      <c r="G24" s="45">
        <f>AVERAGE(B24:F24)</f>
        <v>7.6858803446021344</v>
      </c>
    </row>
    <row r="25" spans="1:8" ht="13.5" thickBot="1" x14ac:dyDescent="0.25">
      <c r="A25" s="55" t="s">
        <v>64</v>
      </c>
      <c r="B25" s="133" t="s">
        <v>38</v>
      </c>
      <c r="C25" s="133" t="s">
        <v>38</v>
      </c>
      <c r="D25" s="133" t="s">
        <v>38</v>
      </c>
      <c r="E25" s="133" t="s">
        <v>38</v>
      </c>
      <c r="F25" s="133" t="s">
        <v>38</v>
      </c>
      <c r="G25" s="120"/>
    </row>
    <row r="26" spans="1:8" ht="9.9499999999999993" customHeight="1" thickBot="1" x14ac:dyDescent="0.25">
      <c r="A26" s="58"/>
      <c r="B26" s="58"/>
      <c r="C26" s="58"/>
      <c r="D26" s="58"/>
      <c r="E26" s="58"/>
      <c r="F26" s="58"/>
      <c r="G26" s="58"/>
      <c r="H26" s="58"/>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97">
        <v>4031</v>
      </c>
      <c r="C29" s="97">
        <v>3973</v>
      </c>
      <c r="D29" s="61">
        <v>4240</v>
      </c>
      <c r="E29" s="61">
        <v>4043</v>
      </c>
      <c r="F29" s="61">
        <v>3968</v>
      </c>
      <c r="G29" s="62">
        <f>AVERAGE(B29:F29)</f>
        <v>4051</v>
      </c>
    </row>
    <row r="30" spans="1:8" x14ac:dyDescent="0.2">
      <c r="A30" s="60" t="s">
        <v>8</v>
      </c>
      <c r="B30" s="97">
        <v>3</v>
      </c>
      <c r="C30" s="97">
        <v>3</v>
      </c>
      <c r="D30" s="61">
        <v>3</v>
      </c>
      <c r="E30" s="61">
        <v>15</v>
      </c>
      <c r="F30" s="61">
        <v>6</v>
      </c>
      <c r="G30" s="62">
        <f>AVERAGE(B30:F30)</f>
        <v>6</v>
      </c>
    </row>
    <row r="31" spans="1:8" ht="13.5" thickBot="1" x14ac:dyDescent="0.25">
      <c r="A31" s="22" t="s">
        <v>4</v>
      </c>
      <c r="B31" s="25">
        <f>SUM(B29:B30)</f>
        <v>4034</v>
      </c>
      <c r="C31" s="25">
        <f>SUM(C29:C30)</f>
        <v>3976</v>
      </c>
      <c r="D31" s="25">
        <f>SUM(D29:D30)</f>
        <v>4243</v>
      </c>
      <c r="E31" s="25">
        <f>SUM(E29:E30)</f>
        <v>4058</v>
      </c>
      <c r="F31" s="25">
        <f>SUM(F29:F30)</f>
        <v>3974</v>
      </c>
      <c r="G31" s="24">
        <f>AVERAGE(B31:F31)</f>
        <v>4057</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22.8</v>
      </c>
      <c r="C35" s="32">
        <v>22</v>
      </c>
      <c r="D35" s="63">
        <v>21.7</v>
      </c>
      <c r="E35" s="63">
        <v>22.3</v>
      </c>
      <c r="F35" s="63">
        <v>21.7</v>
      </c>
      <c r="G35" s="45">
        <f>AVERAGE(B35:F35)</f>
        <v>22.1</v>
      </c>
    </row>
    <row r="36" spans="1:8" ht="13.5" thickBot="1" x14ac:dyDescent="0.25">
      <c r="A36" s="64" t="s">
        <v>8</v>
      </c>
      <c r="B36" s="119"/>
      <c r="C36" s="119"/>
      <c r="D36" s="119"/>
      <c r="E36" s="119"/>
      <c r="F36" s="119"/>
      <c r="G36" s="120"/>
    </row>
    <row r="37" spans="1:8" ht="9.9499999999999993" customHeight="1" thickBot="1" x14ac:dyDescent="0.25">
      <c r="A37" s="66"/>
      <c r="B37" s="98"/>
      <c r="C37" s="98"/>
      <c r="D37" s="98"/>
      <c r="E37" s="98"/>
      <c r="F37" s="98"/>
      <c r="G37" s="98"/>
      <c r="H37" s="98"/>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7</v>
      </c>
      <c r="C40" s="32">
        <v>7</v>
      </c>
      <c r="D40" s="32">
        <v>7</v>
      </c>
      <c r="E40" s="32">
        <v>6</v>
      </c>
      <c r="F40" s="32">
        <v>8</v>
      </c>
      <c r="G40" s="45">
        <f>AVERAGE(B40:F40)</f>
        <v>7</v>
      </c>
    </row>
    <row r="41" spans="1:8" x14ac:dyDescent="0.2">
      <c r="A41" s="60" t="s">
        <v>3</v>
      </c>
      <c r="B41" s="32">
        <v>7</v>
      </c>
      <c r="C41" s="32">
        <v>6</v>
      </c>
      <c r="D41" s="32">
        <v>7</v>
      </c>
      <c r="E41" s="32">
        <v>7</v>
      </c>
      <c r="F41" s="32">
        <v>4</v>
      </c>
      <c r="G41" s="45">
        <f>AVERAGE(B41:F41)</f>
        <v>6.2</v>
      </c>
    </row>
    <row r="42" spans="1:8" x14ac:dyDescent="0.2">
      <c r="A42" s="13" t="s">
        <v>4</v>
      </c>
      <c r="B42" s="14">
        <f>SUM(B40:B41)</f>
        <v>14</v>
      </c>
      <c r="C42" s="14">
        <f>SUM(C40:C41)</f>
        <v>13</v>
      </c>
      <c r="D42" s="14">
        <f>SUM(D40:D41)</f>
        <v>14</v>
      </c>
      <c r="E42" s="14">
        <f>SUM(E40:E41)</f>
        <v>13</v>
      </c>
      <c r="F42" s="14">
        <f>SUM(F40:F41)</f>
        <v>12</v>
      </c>
      <c r="G42" s="17">
        <f>AVERAGE(B42:F42)</f>
        <v>13.2</v>
      </c>
    </row>
    <row r="43" spans="1:8" ht="13.5" thickBot="1" x14ac:dyDescent="0.25">
      <c r="A43" s="39" t="s">
        <v>49</v>
      </c>
      <c r="B43" s="40">
        <f>B40+(B41/3)</f>
        <v>9.3333333333333339</v>
      </c>
      <c r="C43" s="40">
        <f>C40+(C41/3)</f>
        <v>9</v>
      </c>
      <c r="D43" s="40">
        <f>D40+(D41/3)</f>
        <v>9.3333333333333339</v>
      </c>
      <c r="E43" s="40">
        <f>E40+(E41/3)</f>
        <v>8.3333333333333339</v>
      </c>
      <c r="F43" s="40">
        <f>F40+(F41/3)</f>
        <v>9.3333333333333339</v>
      </c>
      <c r="G43" s="67">
        <f>AVERAGE(B43:F43)</f>
        <v>9.0666666666666682</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 + B14)/B43</f>
        <v>13.107142857142856</v>
      </c>
      <c r="C47" s="56">
        <f>(C8 + C14)/C43</f>
        <v>15.888888888888889</v>
      </c>
      <c r="D47" s="56">
        <f>(D8 + D14)/D43</f>
        <v>17.142857142857142</v>
      </c>
      <c r="E47" s="56">
        <f>(E8 + E14)/E43</f>
        <v>19.559999999999999</v>
      </c>
      <c r="F47" s="56">
        <f>(F8 + F14)/F43</f>
        <v>17.785714285714285</v>
      </c>
      <c r="G47" s="57">
        <f>AVERAGE(B47:F47)</f>
        <v>16.696920634920634</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432.21428571428567</v>
      </c>
      <c r="C51" s="56">
        <f>C31/C43</f>
        <v>441.77777777777777</v>
      </c>
      <c r="D51" s="56">
        <f>D31/D43</f>
        <v>454.60714285714283</v>
      </c>
      <c r="E51" s="56">
        <f>E31/E43</f>
        <v>486.96</v>
      </c>
      <c r="F51" s="56">
        <f>F31/F43</f>
        <v>425.78571428571428</v>
      </c>
      <c r="G51" s="57">
        <f>AVERAGE(B51:F51)</f>
        <v>448.26898412698409</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718969</v>
      </c>
      <c r="C55" s="73">
        <f>715735.66+24848.68</f>
        <v>740584.34000000008</v>
      </c>
      <c r="D55" s="73">
        <f>727409.8+29569.07</f>
        <v>756978.87</v>
      </c>
      <c r="E55" s="73">
        <v>766350</v>
      </c>
      <c r="F55" s="73">
        <v>1098884</v>
      </c>
      <c r="G55" s="74">
        <f>AVERAGE(B55:F55)</f>
        <v>816353.24199999997</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178.22731779871097</v>
      </c>
      <c r="C59" s="76">
        <f>C55/C31</f>
        <v>186.26366700201208</v>
      </c>
      <c r="D59" s="76">
        <f>D55/D31</f>
        <v>178.40652132924816</v>
      </c>
      <c r="E59" s="76">
        <f>E55/E31</f>
        <v>188.84918679152292</v>
      </c>
      <c r="F59" s="76">
        <f>F55/F31</f>
        <v>276.51836940110718</v>
      </c>
      <c r="G59" s="74">
        <f>AVERAGE(B59:F59)</f>
        <v>201.65301246452026</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77032.392857142855</v>
      </c>
      <c r="C63" s="75">
        <f t="shared" ref="C63:F63" si="1">C55/C43</f>
        <v>82287.1488888889</v>
      </c>
      <c r="D63" s="75">
        <f t="shared" si="1"/>
        <v>81104.87892857143</v>
      </c>
      <c r="E63" s="75">
        <f t="shared" si="1"/>
        <v>91962</v>
      </c>
      <c r="F63" s="75">
        <f t="shared" si="1"/>
        <v>117737.57142857142</v>
      </c>
      <c r="G63" s="74">
        <f>AVERAGE(B63:F63)</f>
        <v>90024.798420634921</v>
      </c>
    </row>
  </sheetData>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186" t="s">
        <v>40</v>
      </c>
      <c r="C1" s="188"/>
      <c r="D1" s="188"/>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221</v>
      </c>
      <c r="C5" s="33">
        <v>248</v>
      </c>
      <c r="D5" s="32">
        <v>243</v>
      </c>
      <c r="E5" s="32">
        <v>184</v>
      </c>
      <c r="F5" s="32">
        <v>164</v>
      </c>
      <c r="G5" s="34">
        <f>AVERAGE(B5:F5)</f>
        <v>212</v>
      </c>
    </row>
    <row r="6" spans="1:8" x14ac:dyDescent="0.2">
      <c r="A6" s="31" t="s">
        <v>3</v>
      </c>
      <c r="B6" s="32">
        <v>35</v>
      </c>
      <c r="C6" s="33">
        <v>34</v>
      </c>
      <c r="D6" s="32">
        <v>29</v>
      </c>
      <c r="E6" s="32">
        <v>36</v>
      </c>
      <c r="F6" s="32">
        <v>38</v>
      </c>
      <c r="G6" s="34">
        <f>AVERAGE(B6:F6)</f>
        <v>34.4</v>
      </c>
    </row>
    <row r="7" spans="1:8" x14ac:dyDescent="0.2">
      <c r="A7" s="13" t="s">
        <v>4</v>
      </c>
      <c r="B7" s="14">
        <f>SUM(B5:B6)</f>
        <v>256</v>
      </c>
      <c r="C7" s="14">
        <f>SUM(C5:C6)</f>
        <v>282</v>
      </c>
      <c r="D7" s="14">
        <f>SUM(D5:D6)</f>
        <v>272</v>
      </c>
      <c r="E7" s="15">
        <f>SUM(E5:E6)</f>
        <v>220</v>
      </c>
      <c r="F7" s="15">
        <f>SUM(F5:F6)</f>
        <v>202</v>
      </c>
      <c r="G7" s="17">
        <f>AVERAGE(B7:F7)</f>
        <v>246.4</v>
      </c>
    </row>
    <row r="8" spans="1:8" ht="13.5" thickBot="1" x14ac:dyDescent="0.25">
      <c r="A8" s="35" t="s">
        <v>48</v>
      </c>
      <c r="B8" s="36">
        <f>B5+(B6/3)</f>
        <v>232.66666666666666</v>
      </c>
      <c r="C8" s="36">
        <f>C5+(C6/3)</f>
        <v>259.33333333333331</v>
      </c>
      <c r="D8" s="36">
        <f>D5+(D6/3)</f>
        <v>252.66666666666666</v>
      </c>
      <c r="E8" s="37">
        <f>E5+(E6/3)</f>
        <v>196</v>
      </c>
      <c r="F8" s="37">
        <f>F5+(F6/3)</f>
        <v>176.66666666666666</v>
      </c>
      <c r="G8" s="38">
        <f>AVERAGE(B8:F8)</f>
        <v>223.46666666666664</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32">
        <v>20</v>
      </c>
      <c r="C11" s="33">
        <v>34</v>
      </c>
      <c r="D11" s="32">
        <v>26</v>
      </c>
      <c r="E11" s="32">
        <v>12</v>
      </c>
      <c r="F11" s="32">
        <v>12</v>
      </c>
      <c r="G11" s="34">
        <f>AVERAGE(B11:F11)</f>
        <v>20.8</v>
      </c>
    </row>
    <row r="12" spans="1:8" x14ac:dyDescent="0.2">
      <c r="A12" s="31" t="s">
        <v>3</v>
      </c>
      <c r="B12" s="32">
        <v>26</v>
      </c>
      <c r="C12" s="33">
        <v>26</v>
      </c>
      <c r="D12" s="32">
        <v>23</v>
      </c>
      <c r="E12" s="32">
        <v>26</v>
      </c>
      <c r="F12" s="32">
        <v>14</v>
      </c>
      <c r="G12" s="34">
        <f>AVERAGE(B12:F12)</f>
        <v>23</v>
      </c>
    </row>
    <row r="13" spans="1:8" x14ac:dyDescent="0.2">
      <c r="A13" s="13" t="s">
        <v>4</v>
      </c>
      <c r="B13" s="14">
        <f>SUM(B11:B12)</f>
        <v>46</v>
      </c>
      <c r="C13" s="14">
        <f>SUM(C11:C12)</f>
        <v>60</v>
      </c>
      <c r="D13" s="14">
        <f>SUM(D11:D12)</f>
        <v>49</v>
      </c>
      <c r="E13" s="15">
        <f>SUM(E11:E12)</f>
        <v>38</v>
      </c>
      <c r="F13" s="14">
        <f>SUM(F11:F12)</f>
        <v>26</v>
      </c>
      <c r="G13" s="16">
        <f>AVERAGE(B13:F13)</f>
        <v>43.8</v>
      </c>
    </row>
    <row r="14" spans="1:8" ht="13.5" thickBot="1" x14ac:dyDescent="0.25">
      <c r="A14" s="39" t="s">
        <v>48</v>
      </c>
      <c r="B14" s="40">
        <f>B11+(B12/3)</f>
        <v>28.666666666666664</v>
      </c>
      <c r="C14" s="40">
        <f>C11+(C12/3)</f>
        <v>42.666666666666664</v>
      </c>
      <c r="D14" s="40">
        <f>D11+(D12/3)</f>
        <v>33.666666666666664</v>
      </c>
      <c r="E14" s="41">
        <f>E11+(E12/3)</f>
        <v>20.666666666666664</v>
      </c>
      <c r="F14" s="40">
        <f>F11+(F12/3)</f>
        <v>16.666666666666668</v>
      </c>
      <c r="G14" s="42">
        <f>AVERAGE(B14:F14)</f>
        <v>28.466666666666661</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23</v>
      </c>
      <c r="C18" s="32">
        <v>39</v>
      </c>
      <c r="D18" s="32">
        <v>47</v>
      </c>
      <c r="E18" s="32">
        <v>47</v>
      </c>
      <c r="F18" s="32">
        <v>37</v>
      </c>
      <c r="G18" s="45">
        <f>AVERAGE(B18:F18)</f>
        <v>38.6</v>
      </c>
    </row>
    <row r="19" spans="1:8" x14ac:dyDescent="0.2">
      <c r="A19" s="46" t="s">
        <v>63</v>
      </c>
      <c r="B19" s="47">
        <v>9</v>
      </c>
      <c r="C19" s="47">
        <v>12</v>
      </c>
      <c r="D19" s="47">
        <v>17</v>
      </c>
      <c r="E19" s="47">
        <v>20</v>
      </c>
      <c r="F19" s="47">
        <v>8</v>
      </c>
      <c r="G19" s="48">
        <f>AVERAGE(B19:F19)</f>
        <v>13.2</v>
      </c>
    </row>
    <row r="20" spans="1:8" ht="13.5" thickBot="1" x14ac:dyDescent="0.25">
      <c r="A20" s="49" t="s">
        <v>4</v>
      </c>
      <c r="B20" s="79">
        <f>B19+B18</f>
        <v>32</v>
      </c>
      <c r="C20" s="79">
        <f t="shared" ref="C20:F20" si="0">C19+C18</f>
        <v>51</v>
      </c>
      <c r="D20" s="79">
        <f t="shared" si="0"/>
        <v>64</v>
      </c>
      <c r="E20" s="79">
        <f t="shared" si="0"/>
        <v>67</v>
      </c>
      <c r="F20" s="79">
        <f t="shared" si="0"/>
        <v>45</v>
      </c>
      <c r="G20" s="51">
        <f>AVERAGE(B20:F20)</f>
        <v>51.8</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11.130434782608695</v>
      </c>
      <c r="C24" s="54">
        <f>C7/C18</f>
        <v>7.2307692307692308</v>
      </c>
      <c r="D24" s="54">
        <f>D7/D18</f>
        <v>5.7872340425531918</v>
      </c>
      <c r="E24" s="54">
        <f>E7/E18</f>
        <v>4.6808510638297873</v>
      </c>
      <c r="F24" s="54">
        <f>F7/F18</f>
        <v>5.4594594594594597</v>
      </c>
      <c r="G24" s="45">
        <f>AVERAGE(B24:F24)</f>
        <v>6.8577497158440739</v>
      </c>
    </row>
    <row r="25" spans="1:8" ht="13.5" thickBot="1" x14ac:dyDescent="0.25">
      <c r="A25" s="55" t="s">
        <v>64</v>
      </c>
      <c r="B25" s="56">
        <f>B13/B19</f>
        <v>5.1111111111111107</v>
      </c>
      <c r="C25" s="56">
        <f>C13/C19</f>
        <v>5</v>
      </c>
      <c r="D25" s="56">
        <f>D13/D19</f>
        <v>2.8823529411764706</v>
      </c>
      <c r="E25" s="56">
        <f>E13/E19</f>
        <v>1.9</v>
      </c>
      <c r="F25" s="56">
        <f>F13/F19</f>
        <v>3.25</v>
      </c>
      <c r="G25" s="57">
        <f>AVERAGE(B25:F25)</f>
        <v>3.6286928104575167</v>
      </c>
    </row>
    <row r="26" spans="1:8" ht="9.9499999999999993" customHeight="1" thickBot="1" x14ac:dyDescent="0.25">
      <c r="A26" s="58"/>
      <c r="B26" s="58"/>
      <c r="C26" s="58"/>
      <c r="D26" s="58"/>
      <c r="E26" s="58"/>
      <c r="F26" s="58"/>
      <c r="G26" s="58"/>
      <c r="H26" s="58"/>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2493</v>
      </c>
      <c r="C29" s="61">
        <v>3054</v>
      </c>
      <c r="D29" s="61">
        <v>3558</v>
      </c>
      <c r="E29" s="61">
        <v>2887</v>
      </c>
      <c r="F29" s="61">
        <v>2296</v>
      </c>
      <c r="G29" s="62">
        <f>AVERAGE(B29:F29)</f>
        <v>2857.6</v>
      </c>
    </row>
    <row r="30" spans="1:8" x14ac:dyDescent="0.2">
      <c r="A30" s="60" t="s">
        <v>8</v>
      </c>
      <c r="B30" s="61">
        <v>543</v>
      </c>
      <c r="C30" s="61">
        <v>726</v>
      </c>
      <c r="D30" s="61">
        <v>693</v>
      </c>
      <c r="E30" s="61">
        <v>450</v>
      </c>
      <c r="F30" s="61">
        <v>348</v>
      </c>
      <c r="G30" s="62">
        <f>AVERAGE(B30:F30)</f>
        <v>552</v>
      </c>
    </row>
    <row r="31" spans="1:8" ht="13.5" thickBot="1" x14ac:dyDescent="0.25">
      <c r="A31" s="22" t="s">
        <v>4</v>
      </c>
      <c r="B31" s="23">
        <f>SUM(B29:B30)</f>
        <v>3036</v>
      </c>
      <c r="C31" s="23">
        <f>SUM(C29:C30)</f>
        <v>3780</v>
      </c>
      <c r="D31" s="23">
        <f>SUM(D29:D30)</f>
        <v>4251</v>
      </c>
      <c r="E31" s="23">
        <f>SUM(E29:E30)</f>
        <v>3337</v>
      </c>
      <c r="F31" s="23">
        <f>SUM(F29:F30)</f>
        <v>2644</v>
      </c>
      <c r="G31" s="24">
        <f>AVERAGE(B31:F31)</f>
        <v>3409.6</v>
      </c>
    </row>
    <row r="32" spans="1:8" ht="9.9499999999999993" customHeight="1" thickBot="1" x14ac:dyDescent="0.25">
      <c r="A32" s="58"/>
    </row>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34.700000000000003</v>
      </c>
      <c r="C35" s="32">
        <v>31.5</v>
      </c>
      <c r="D35" s="63">
        <v>23.3</v>
      </c>
      <c r="E35" s="63">
        <v>19.399999999999999</v>
      </c>
      <c r="F35" s="63">
        <v>15.5</v>
      </c>
      <c r="G35" s="45">
        <f>AVERAGE(B35:F35)</f>
        <v>24.880000000000003</v>
      </c>
    </row>
    <row r="36" spans="1:8" ht="13.5" thickBot="1" x14ac:dyDescent="0.25">
      <c r="A36" s="64" t="s">
        <v>8</v>
      </c>
      <c r="B36" s="65">
        <v>18.399999999999999</v>
      </c>
      <c r="C36" s="65">
        <v>17.899999999999999</v>
      </c>
      <c r="D36" s="65">
        <v>14.8</v>
      </c>
      <c r="E36" s="65">
        <v>9.8000000000000007</v>
      </c>
      <c r="F36" s="65">
        <v>7.6</v>
      </c>
      <c r="G36" s="57">
        <f>AVERAGE(B36:F36)</f>
        <v>13.699999999999998</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4</v>
      </c>
      <c r="C40" s="32">
        <v>4</v>
      </c>
      <c r="D40" s="32">
        <v>4</v>
      </c>
      <c r="E40" s="32">
        <v>4</v>
      </c>
      <c r="F40" s="32">
        <v>4</v>
      </c>
      <c r="G40" s="45">
        <f>AVERAGE(B40:F40)</f>
        <v>4</v>
      </c>
    </row>
    <row r="41" spans="1:8" x14ac:dyDescent="0.2">
      <c r="A41" s="60" t="s">
        <v>3</v>
      </c>
      <c r="B41" s="32">
        <v>2</v>
      </c>
      <c r="C41" s="32">
        <v>1</v>
      </c>
      <c r="D41" s="32">
        <v>3</v>
      </c>
      <c r="E41" s="32">
        <v>4</v>
      </c>
      <c r="F41" s="32">
        <v>3</v>
      </c>
      <c r="G41" s="45">
        <f>AVERAGE(B41:F41)</f>
        <v>2.6</v>
      </c>
    </row>
    <row r="42" spans="1:8" x14ac:dyDescent="0.2">
      <c r="A42" s="13" t="s">
        <v>4</v>
      </c>
      <c r="B42" s="14">
        <f>SUM(B40:B41)</f>
        <v>6</v>
      </c>
      <c r="C42" s="14">
        <f>SUM(C40:C41)</f>
        <v>5</v>
      </c>
      <c r="D42" s="14">
        <f>SUM(D40:D41)</f>
        <v>7</v>
      </c>
      <c r="E42" s="14">
        <f>SUM(E40:E41)</f>
        <v>8</v>
      </c>
      <c r="F42" s="14">
        <f>SUM(F40:F41)</f>
        <v>7</v>
      </c>
      <c r="G42" s="17">
        <f>AVERAGE(B42:F42)</f>
        <v>6.6</v>
      </c>
    </row>
    <row r="43" spans="1:8" ht="13.5" thickBot="1" x14ac:dyDescent="0.25">
      <c r="A43" s="39" t="s">
        <v>49</v>
      </c>
      <c r="B43" s="40">
        <f>B40+(B41/3)</f>
        <v>4.666666666666667</v>
      </c>
      <c r="C43" s="40">
        <f>C40+(C41/3)</f>
        <v>4.333333333333333</v>
      </c>
      <c r="D43" s="40">
        <f>D40+(D41/3)</f>
        <v>5</v>
      </c>
      <c r="E43" s="40">
        <f>E40+(E41/3)</f>
        <v>5.333333333333333</v>
      </c>
      <c r="F43" s="40">
        <f>F40+(F41/3)</f>
        <v>5</v>
      </c>
      <c r="G43" s="67">
        <f>AVERAGE(B43:F43)</f>
        <v>4.8666666666666663</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55.999999999999993</v>
      </c>
      <c r="C47" s="56">
        <f>(C8+C14)/C43</f>
        <v>69.692307692307693</v>
      </c>
      <c r="D47" s="56">
        <f>(D8+D14)/D43</f>
        <v>57.266666666666666</v>
      </c>
      <c r="E47" s="56">
        <f>(E8+E14)/E43</f>
        <v>40.625</v>
      </c>
      <c r="F47" s="56">
        <f>(F8+F14)/F43</f>
        <v>38.666666666666664</v>
      </c>
      <c r="G47" s="57">
        <f>AVERAGE(B47:F47)</f>
        <v>52.450128205128202</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650.57142857142856</v>
      </c>
      <c r="C51" s="56">
        <f>C31/C43</f>
        <v>872.30769230769238</v>
      </c>
      <c r="D51" s="56">
        <f>D31/D43</f>
        <v>850.2</v>
      </c>
      <c r="E51" s="56">
        <f>E31/E43</f>
        <v>625.6875</v>
      </c>
      <c r="F51" s="56">
        <f>F31/F43</f>
        <v>528.79999999999995</v>
      </c>
      <c r="G51" s="57">
        <f>AVERAGE(B51:F51)</f>
        <v>705.51332417582421</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287221</v>
      </c>
      <c r="C55" s="73">
        <v>362389</v>
      </c>
      <c r="D55" s="73">
        <f>368968.81+948.23</f>
        <v>369917.04</v>
      </c>
      <c r="E55" s="73">
        <v>385361</v>
      </c>
      <c r="F55" s="73">
        <v>409582</v>
      </c>
      <c r="G55" s="74">
        <f>AVERAGE(B55:F55)</f>
        <v>362894.00800000003</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94.60507246376811</v>
      </c>
      <c r="C59" s="76">
        <f>C55/C31</f>
        <v>95.87010582010582</v>
      </c>
      <c r="D59" s="76">
        <f>D55/D31</f>
        <v>87.018828510938604</v>
      </c>
      <c r="E59" s="76">
        <f>E55/E31</f>
        <v>115.48127060233743</v>
      </c>
      <c r="F59" s="76">
        <f>F55/F31</f>
        <v>154.90998487140695</v>
      </c>
      <c r="G59" s="74">
        <f>AVERAGE(B59:F59)</f>
        <v>109.57705245371139</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61547.357142857138</v>
      </c>
      <c r="C63" s="75">
        <f t="shared" ref="C63:F63" si="1">C55/C43</f>
        <v>83628.23076923078</v>
      </c>
      <c r="D63" s="75">
        <f t="shared" si="1"/>
        <v>73983.407999999996</v>
      </c>
      <c r="E63" s="75">
        <f t="shared" si="1"/>
        <v>72255.1875</v>
      </c>
      <c r="F63" s="75">
        <f t="shared" si="1"/>
        <v>81916.399999999994</v>
      </c>
      <c r="G63" s="74">
        <f>AVERAGE(B63:F63)</f>
        <v>74666.116682417574</v>
      </c>
    </row>
  </sheetData>
  <mergeCells count="1">
    <mergeCell ref="B1:D1"/>
  </mergeCells>
  <phoneticPr fontId="2" type="noConversion"/>
  <printOptions horizontalCentered="1" verticalCentered="1"/>
  <pageMargins left="0.75" right="0.75" top="0.5" bottom="0.55000000000000004" header="0.5" footer="0.2"/>
  <pageSetup scale="95"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186" t="s">
        <v>24</v>
      </c>
      <c r="C1" s="188"/>
      <c r="D1" s="188"/>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339</v>
      </c>
      <c r="C5" s="33">
        <v>289</v>
      </c>
      <c r="D5" s="32">
        <f>237+46</f>
        <v>283</v>
      </c>
      <c r="E5" s="32">
        <v>274</v>
      </c>
      <c r="F5" s="32">
        <v>257</v>
      </c>
      <c r="G5" s="34">
        <f>AVERAGE(B5:F5)</f>
        <v>288.39999999999998</v>
      </c>
    </row>
    <row r="6" spans="1:8" x14ac:dyDescent="0.2">
      <c r="A6" s="31" t="s">
        <v>3</v>
      </c>
      <c r="B6" s="32">
        <v>57</v>
      </c>
      <c r="C6" s="33">
        <v>62</v>
      </c>
      <c r="D6" s="32">
        <f>28+27</f>
        <v>55</v>
      </c>
      <c r="E6" s="32">
        <v>46</v>
      </c>
      <c r="F6" s="32">
        <v>34</v>
      </c>
      <c r="G6" s="34">
        <f>AVERAGE(B6:F6)</f>
        <v>50.8</v>
      </c>
    </row>
    <row r="7" spans="1:8" x14ac:dyDescent="0.2">
      <c r="A7" s="13" t="s">
        <v>4</v>
      </c>
      <c r="B7" s="14">
        <f>SUM(B5:B6)</f>
        <v>396</v>
      </c>
      <c r="C7" s="14">
        <f>SUM(C5:C6)</f>
        <v>351</v>
      </c>
      <c r="D7" s="14">
        <f>SUM(D5:D6)</f>
        <v>338</v>
      </c>
      <c r="E7" s="15">
        <f>SUM(E5:E6)</f>
        <v>320</v>
      </c>
      <c r="F7" s="15">
        <f>SUM(F5:F6)</f>
        <v>291</v>
      </c>
      <c r="G7" s="17">
        <f>AVERAGE(B7:F7)</f>
        <v>339.2</v>
      </c>
    </row>
    <row r="8" spans="1:8" ht="13.5" thickBot="1" x14ac:dyDescent="0.25">
      <c r="A8" s="35" t="s">
        <v>48</v>
      </c>
      <c r="B8" s="36">
        <f>B5+(B6/3)</f>
        <v>358</v>
      </c>
      <c r="C8" s="36">
        <f>C5+(C6/3)</f>
        <v>309.66666666666669</v>
      </c>
      <c r="D8" s="36">
        <f>D5+(D6/3)</f>
        <v>301.33333333333331</v>
      </c>
      <c r="E8" s="37">
        <f>E5+(E6/3)</f>
        <v>289.33333333333331</v>
      </c>
      <c r="F8" s="37">
        <f>F5+(F6/3)</f>
        <v>268.33333333333331</v>
      </c>
      <c r="G8" s="38">
        <f>AVERAGE(B8:F8)</f>
        <v>305.33333333333331</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29"/>
      <c r="C14" s="129"/>
      <c r="D14" s="129"/>
      <c r="E14" s="130"/>
      <c r="F14" s="129"/>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69</v>
      </c>
      <c r="C18" s="32">
        <v>57</v>
      </c>
      <c r="D18" s="32">
        <v>69</v>
      </c>
      <c r="E18" s="32">
        <v>78</v>
      </c>
      <c r="F18" s="32">
        <v>45</v>
      </c>
      <c r="G18" s="45">
        <f>AVERAGE(B18:F18)</f>
        <v>63.6</v>
      </c>
    </row>
    <row r="19" spans="1:8" x14ac:dyDescent="0.2">
      <c r="A19" s="46" t="s">
        <v>63</v>
      </c>
      <c r="B19" s="117"/>
      <c r="C19" s="117"/>
      <c r="D19" s="117"/>
      <c r="E19" s="117"/>
      <c r="F19" s="117"/>
      <c r="G19" s="118"/>
    </row>
    <row r="20" spans="1:8" ht="13.5" thickBot="1" x14ac:dyDescent="0.25">
      <c r="A20" s="49" t="s">
        <v>4</v>
      </c>
      <c r="B20" s="79">
        <f>B19+B18</f>
        <v>69</v>
      </c>
      <c r="C20" s="79">
        <f t="shared" ref="C20:F20" si="0">C19+C18</f>
        <v>57</v>
      </c>
      <c r="D20" s="79">
        <f t="shared" si="0"/>
        <v>69</v>
      </c>
      <c r="E20" s="79">
        <f t="shared" si="0"/>
        <v>78</v>
      </c>
      <c r="F20" s="79">
        <f t="shared" si="0"/>
        <v>45</v>
      </c>
      <c r="G20" s="51">
        <f>AVERAGE(B20:F20)</f>
        <v>63.6</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5.7391304347826084</v>
      </c>
      <c r="C24" s="54">
        <f>C7/C18</f>
        <v>6.1578947368421053</v>
      </c>
      <c r="D24" s="54">
        <f>D7/D18</f>
        <v>4.8985507246376816</v>
      </c>
      <c r="E24" s="54">
        <f>E7/E18</f>
        <v>4.1025641025641022</v>
      </c>
      <c r="F24" s="54">
        <f>F7/F18</f>
        <v>6.4666666666666668</v>
      </c>
      <c r="G24" s="45">
        <f>AVERAGE(B24:F24)</f>
        <v>5.4729613330986329</v>
      </c>
    </row>
    <row r="25" spans="1:8" ht="13.5" thickBot="1" x14ac:dyDescent="0.25">
      <c r="A25" s="55" t="s">
        <v>64</v>
      </c>
      <c r="B25" s="133"/>
      <c r="C25" s="133"/>
      <c r="D25" s="133"/>
      <c r="E25" s="133"/>
      <c r="F25" s="133"/>
      <c r="G25" s="120"/>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8527</v>
      </c>
      <c r="C29" s="61">
        <v>8270</v>
      </c>
      <c r="D29" s="61">
        <v>7966</v>
      </c>
      <c r="E29" s="61">
        <v>7042</v>
      </c>
      <c r="F29" s="61">
        <v>6898</v>
      </c>
      <c r="G29" s="62">
        <f>AVERAGE(B29:F29)</f>
        <v>7740.6</v>
      </c>
    </row>
    <row r="30" spans="1:8" x14ac:dyDescent="0.2">
      <c r="A30" s="60" t="s">
        <v>8</v>
      </c>
      <c r="B30" s="61">
        <v>6</v>
      </c>
      <c r="C30" s="61">
        <v>36</v>
      </c>
      <c r="D30" s="61">
        <v>27</v>
      </c>
      <c r="E30" s="61">
        <v>12</v>
      </c>
      <c r="F30" s="61">
        <v>36</v>
      </c>
      <c r="G30" s="62">
        <f>AVERAGE(B30:F30)</f>
        <v>23.4</v>
      </c>
    </row>
    <row r="31" spans="1:8" ht="13.5" thickBot="1" x14ac:dyDescent="0.25">
      <c r="A31" s="22" t="s">
        <v>4</v>
      </c>
      <c r="B31" s="23">
        <f>SUM(B29:B30)</f>
        <v>8533</v>
      </c>
      <c r="C31" s="23">
        <f>SUM(C29:C30)</f>
        <v>8306</v>
      </c>
      <c r="D31" s="23">
        <f>SUM(D29:D30)</f>
        <v>7993</v>
      </c>
      <c r="E31" s="23">
        <f>SUM(E29:E30)</f>
        <v>7054</v>
      </c>
      <c r="F31" s="23">
        <f>SUM(F29:F30)</f>
        <v>6934</v>
      </c>
      <c r="G31" s="24">
        <f>AVERAGE(B31:F31)</f>
        <v>7764</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22.4</v>
      </c>
      <c r="C35" s="32">
        <v>20</v>
      </c>
      <c r="D35" s="63">
        <v>18.3</v>
      </c>
      <c r="E35" s="63">
        <v>18.8</v>
      </c>
      <c r="F35" s="63">
        <v>18.899999999999999</v>
      </c>
      <c r="G35" s="45">
        <f>AVERAGE(B35:F35)</f>
        <v>19.68</v>
      </c>
    </row>
    <row r="36" spans="1:8" ht="13.5" thickBot="1" x14ac:dyDescent="0.25">
      <c r="A36" s="64" t="s">
        <v>8</v>
      </c>
      <c r="B36" s="119"/>
      <c r="C36" s="119"/>
      <c r="D36" s="119"/>
      <c r="E36" s="119"/>
      <c r="F36" s="65">
        <v>10</v>
      </c>
      <c r="G36" s="57">
        <f>AVERAGE(B36:F36)</f>
        <v>10</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11</v>
      </c>
      <c r="C40" s="32">
        <v>10</v>
      </c>
      <c r="D40" s="32">
        <v>11</v>
      </c>
      <c r="E40" s="32">
        <v>10</v>
      </c>
      <c r="F40" s="32">
        <v>12</v>
      </c>
      <c r="G40" s="45">
        <f>AVERAGE(B40:F40)</f>
        <v>10.8</v>
      </c>
    </row>
    <row r="41" spans="1:8" x14ac:dyDescent="0.2">
      <c r="A41" s="60" t="s">
        <v>3</v>
      </c>
      <c r="B41" s="32">
        <v>7</v>
      </c>
      <c r="C41" s="32">
        <v>5</v>
      </c>
      <c r="D41" s="32">
        <v>4</v>
      </c>
      <c r="E41" s="32">
        <v>2</v>
      </c>
      <c r="F41" s="32">
        <v>1</v>
      </c>
      <c r="G41" s="45">
        <f>AVERAGE(B41:F41)</f>
        <v>3.8</v>
      </c>
    </row>
    <row r="42" spans="1:8" x14ac:dyDescent="0.2">
      <c r="A42" s="13" t="s">
        <v>4</v>
      </c>
      <c r="B42" s="14">
        <f>SUM(B40:B41)</f>
        <v>18</v>
      </c>
      <c r="C42" s="14">
        <f>SUM(C40:C41)</f>
        <v>15</v>
      </c>
      <c r="D42" s="14">
        <f>SUM(D40:D41)</f>
        <v>15</v>
      </c>
      <c r="E42" s="14">
        <f>SUM(E40:E41)</f>
        <v>12</v>
      </c>
      <c r="F42" s="14">
        <f>SUM(F40:F41)</f>
        <v>13</v>
      </c>
      <c r="G42" s="17">
        <f>AVERAGE(B42:F42)</f>
        <v>14.6</v>
      </c>
    </row>
    <row r="43" spans="1:8" ht="13.5" thickBot="1" x14ac:dyDescent="0.25">
      <c r="A43" s="39" t="s">
        <v>49</v>
      </c>
      <c r="B43" s="40">
        <f>B40+(B41/3)</f>
        <v>13.333333333333334</v>
      </c>
      <c r="C43" s="40">
        <f>C40+(C41/3)</f>
        <v>11.666666666666666</v>
      </c>
      <c r="D43" s="40">
        <f>D40+(D41/3)</f>
        <v>12.333333333333334</v>
      </c>
      <c r="E43" s="40">
        <f>E40+(E41/3)</f>
        <v>10.666666666666666</v>
      </c>
      <c r="F43" s="40">
        <f>F40+(F41/3)</f>
        <v>12.333333333333334</v>
      </c>
      <c r="G43" s="67">
        <f>AVERAGE(B43:F43)</f>
        <v>12.066666666666666</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26.849999999999998</v>
      </c>
      <c r="C47" s="56">
        <f>(C8+C14)/C43</f>
        <v>26.542857142857144</v>
      </c>
      <c r="D47" s="56">
        <f>(D8+D14)/D43</f>
        <v>24.432432432432428</v>
      </c>
      <c r="E47" s="56">
        <f>(E8+E14)/E43</f>
        <v>27.125</v>
      </c>
      <c r="F47" s="56">
        <f>(F8+F14)/F43</f>
        <v>21.756756756756754</v>
      </c>
      <c r="G47" s="57">
        <f>AVERAGE(B47:F47)</f>
        <v>25.341409266409265</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639.97500000000002</v>
      </c>
      <c r="C51" s="56">
        <f>C31/C43</f>
        <v>711.94285714285718</v>
      </c>
      <c r="D51" s="56">
        <f>D31/D43</f>
        <v>648.08108108108104</v>
      </c>
      <c r="E51" s="56">
        <f>E31/E43</f>
        <v>661.3125</v>
      </c>
      <c r="F51" s="56">
        <f>F31/F43</f>
        <v>562.21621621621614</v>
      </c>
      <c r="G51" s="57">
        <f>AVERAGE(B51:F51)</f>
        <v>644.70553088803092</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966085</v>
      </c>
      <c r="C55" s="73">
        <f>1000539.98+20523.41</f>
        <v>1021063.39</v>
      </c>
      <c r="D55" s="73">
        <f>1110643.64+17250.78</f>
        <v>1127894.42</v>
      </c>
      <c r="E55" s="73">
        <v>1098473</v>
      </c>
      <c r="F55" s="73">
        <v>1104175</v>
      </c>
      <c r="G55" s="74">
        <f>AVERAGE(B55:F55)</f>
        <v>1063538.162</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113.21750849642564</v>
      </c>
      <c r="C59" s="76">
        <f>C55/C31</f>
        <v>122.9308198892367</v>
      </c>
      <c r="D59" s="76">
        <f>D55/D31</f>
        <v>141.11027398974102</v>
      </c>
      <c r="E59" s="76">
        <f>E55/E31</f>
        <v>155.72341933654664</v>
      </c>
      <c r="F59" s="76">
        <f>F55/F31</f>
        <v>159.24069800980675</v>
      </c>
      <c r="G59" s="74">
        <f>AVERAGE(B59:F59)</f>
        <v>138.44454394435132</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72456.375</v>
      </c>
      <c r="C63" s="75">
        <f t="shared" ref="C63:F63" si="1">C55/C43</f>
        <v>87519.719142857153</v>
      </c>
      <c r="D63" s="75">
        <f t="shared" si="1"/>
        <v>91450.898918918901</v>
      </c>
      <c r="E63" s="75">
        <f t="shared" si="1"/>
        <v>102981.84375</v>
      </c>
      <c r="F63" s="75">
        <f t="shared" si="1"/>
        <v>89527.702702702692</v>
      </c>
      <c r="G63" s="74">
        <f>AVERAGE(B63:F63)</f>
        <v>88787.307902895758</v>
      </c>
    </row>
  </sheetData>
  <mergeCells count="1">
    <mergeCell ref="B1:D1"/>
  </mergeCells>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5" width="11.7109375" style="3" customWidth="1"/>
    <col min="6" max="6" width="11.7109375" style="85" customWidth="1"/>
    <col min="7" max="8" width="12.7109375" style="3" customWidth="1"/>
    <col min="9" max="16384" width="9.140625" style="3"/>
  </cols>
  <sheetData>
    <row r="1" spans="1:8" x14ac:dyDescent="0.2">
      <c r="A1" s="26" t="s">
        <v>13</v>
      </c>
      <c r="B1" s="27" t="s">
        <v>52</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8"/>
      <c r="G3" s="7"/>
    </row>
    <row r="4" spans="1:8" x14ac:dyDescent="0.2">
      <c r="A4" s="29" t="s">
        <v>0</v>
      </c>
      <c r="B4" s="4" t="s">
        <v>53</v>
      </c>
      <c r="C4" s="4" t="s">
        <v>55</v>
      </c>
      <c r="D4" s="4" t="s">
        <v>59</v>
      </c>
      <c r="E4" s="4" t="s">
        <v>60</v>
      </c>
      <c r="F4" s="4" t="s">
        <v>67</v>
      </c>
      <c r="G4" s="30" t="s">
        <v>1</v>
      </c>
    </row>
    <row r="5" spans="1:8" x14ac:dyDescent="0.2">
      <c r="A5" s="31" t="s">
        <v>2</v>
      </c>
      <c r="B5" s="92">
        <v>71</v>
      </c>
      <c r="C5" s="93">
        <v>129</v>
      </c>
      <c r="D5" s="94">
        <v>153</v>
      </c>
      <c r="E5" s="94">
        <v>141</v>
      </c>
      <c r="F5" s="94">
        <v>137</v>
      </c>
      <c r="G5" s="34">
        <f>AVERAGE(B5:F5)</f>
        <v>126.2</v>
      </c>
    </row>
    <row r="6" spans="1:8" x14ac:dyDescent="0.2">
      <c r="A6" s="31" t="s">
        <v>3</v>
      </c>
      <c r="B6" s="92">
        <v>7</v>
      </c>
      <c r="C6" s="93">
        <v>26</v>
      </c>
      <c r="D6" s="94">
        <v>24</v>
      </c>
      <c r="E6" s="94">
        <v>50</v>
      </c>
      <c r="F6" s="94">
        <v>52</v>
      </c>
      <c r="G6" s="34">
        <f>AVERAGE(B6:F6)</f>
        <v>31.8</v>
      </c>
    </row>
    <row r="7" spans="1:8" x14ac:dyDescent="0.2">
      <c r="A7" s="13" t="s">
        <v>4</v>
      </c>
      <c r="B7" s="14">
        <f t="shared" ref="B7:C7" si="0">SUM(B5:B6)</f>
        <v>78</v>
      </c>
      <c r="C7" s="14">
        <f t="shared" si="0"/>
        <v>155</v>
      </c>
      <c r="D7" s="14">
        <f>SUM(D5:D6)</f>
        <v>177</v>
      </c>
      <c r="E7" s="15">
        <f>SUM(E5:E6)</f>
        <v>191</v>
      </c>
      <c r="F7" s="15">
        <f>SUM(F5:F6)</f>
        <v>189</v>
      </c>
      <c r="G7" s="17">
        <f>AVERAGE(B7:F7)</f>
        <v>158</v>
      </c>
    </row>
    <row r="8" spans="1:8" ht="13.5" thickBot="1" x14ac:dyDescent="0.25">
      <c r="A8" s="35" t="s">
        <v>48</v>
      </c>
      <c r="B8" s="36">
        <f t="shared" ref="B8:C8" si="1">B5+(B6/3)</f>
        <v>73.333333333333329</v>
      </c>
      <c r="C8" s="36">
        <f t="shared" si="1"/>
        <v>137.66666666666666</v>
      </c>
      <c r="D8" s="36">
        <f>D5+(D6/3)</f>
        <v>161</v>
      </c>
      <c r="E8" s="37">
        <f>E5+(E6/3)</f>
        <v>157.66666666666666</v>
      </c>
      <c r="F8" s="37">
        <f>F5+(F6/3)</f>
        <v>154.33333333333334</v>
      </c>
      <c r="G8" s="38">
        <f>AVERAGE(B8:F8)</f>
        <v>136.80000000000001</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40"/>
      <c r="C11" s="141"/>
      <c r="D11" s="142"/>
      <c r="E11" s="142"/>
      <c r="F11" s="142"/>
      <c r="G11" s="125"/>
    </row>
    <row r="12" spans="1:8" x14ac:dyDescent="0.2">
      <c r="A12" s="31" t="s">
        <v>3</v>
      </c>
      <c r="B12" s="140"/>
      <c r="C12" s="141"/>
      <c r="D12" s="142"/>
      <c r="E12" s="142"/>
      <c r="F12" s="142"/>
      <c r="G12" s="125"/>
    </row>
    <row r="13" spans="1:8" x14ac:dyDescent="0.2">
      <c r="A13" s="13" t="s">
        <v>4</v>
      </c>
      <c r="B13" s="126"/>
      <c r="C13" s="126"/>
      <c r="D13" s="126"/>
      <c r="E13" s="127"/>
      <c r="F13" s="126"/>
      <c r="G13" s="128"/>
    </row>
    <row r="14" spans="1:8" ht="13.5" thickBot="1" x14ac:dyDescent="0.25">
      <c r="A14" s="39" t="s">
        <v>48</v>
      </c>
      <c r="B14" s="129"/>
      <c r="C14" s="129"/>
      <c r="D14" s="129"/>
      <c r="E14" s="130"/>
      <c r="F14" s="129"/>
      <c r="G14" s="131"/>
    </row>
    <row r="15" spans="1:8" ht="9.9499999999999993" customHeight="1" thickBot="1" x14ac:dyDescent="0.25"/>
    <row r="16" spans="1:8" x14ac:dyDescent="0.2">
      <c r="A16" s="18" t="s">
        <v>21</v>
      </c>
      <c r="B16" s="19"/>
      <c r="C16" s="19"/>
      <c r="D16" s="19"/>
      <c r="E16" s="19"/>
      <c r="F16" s="21"/>
      <c r="G16" s="20"/>
    </row>
    <row r="17" spans="1:8" x14ac:dyDescent="0.2">
      <c r="A17" s="29" t="s">
        <v>7</v>
      </c>
      <c r="B17" s="4" t="s">
        <v>53</v>
      </c>
      <c r="C17" s="4" t="s">
        <v>55</v>
      </c>
      <c r="D17" s="4" t="s">
        <v>59</v>
      </c>
      <c r="E17" s="4" t="s">
        <v>60</v>
      </c>
      <c r="F17" s="4" t="s">
        <v>67</v>
      </c>
      <c r="G17" s="30" t="s">
        <v>1</v>
      </c>
    </row>
    <row r="18" spans="1:8" x14ac:dyDescent="0.2">
      <c r="A18" s="43" t="s">
        <v>62</v>
      </c>
      <c r="B18" s="113">
        <v>2</v>
      </c>
      <c r="C18" s="113">
        <v>10</v>
      </c>
      <c r="D18" s="92">
        <v>19</v>
      </c>
      <c r="E18" s="92">
        <v>34</v>
      </c>
      <c r="F18" s="92">
        <v>35</v>
      </c>
      <c r="G18" s="114">
        <f>AVERAGE(B18:F18)</f>
        <v>20</v>
      </c>
    </row>
    <row r="19" spans="1:8" x14ac:dyDescent="0.2">
      <c r="A19" s="46" t="s">
        <v>63</v>
      </c>
      <c r="B19" s="143"/>
      <c r="C19" s="143"/>
      <c r="D19" s="144"/>
      <c r="E19" s="144"/>
      <c r="F19" s="144"/>
      <c r="G19" s="145"/>
    </row>
    <row r="20" spans="1:8" ht="13.5" thickBot="1" x14ac:dyDescent="0.25">
      <c r="A20" s="49" t="s">
        <v>4</v>
      </c>
      <c r="B20" s="115">
        <f>B19+B18</f>
        <v>2</v>
      </c>
      <c r="C20" s="115">
        <f t="shared" ref="C20:F20" si="2">C19+C18</f>
        <v>10</v>
      </c>
      <c r="D20" s="115">
        <f t="shared" si="2"/>
        <v>19</v>
      </c>
      <c r="E20" s="115">
        <f t="shared" si="2"/>
        <v>34</v>
      </c>
      <c r="F20" s="115">
        <f t="shared" si="2"/>
        <v>35</v>
      </c>
      <c r="G20" s="116">
        <f>AVERAGE(B20:F20)</f>
        <v>20</v>
      </c>
    </row>
    <row r="21" spans="1:8" ht="9.9499999999999993" customHeight="1" thickBot="1" x14ac:dyDescent="0.25"/>
    <row r="22" spans="1:8" x14ac:dyDescent="0.2">
      <c r="A22" s="18" t="s">
        <v>22</v>
      </c>
      <c r="B22" s="19"/>
      <c r="C22" s="19"/>
      <c r="D22" s="19"/>
      <c r="E22" s="19"/>
      <c r="F22" s="21"/>
      <c r="G22" s="20"/>
    </row>
    <row r="23" spans="1:8" x14ac:dyDescent="0.2">
      <c r="A23" s="52"/>
      <c r="B23" s="4" t="s">
        <v>53</v>
      </c>
      <c r="C23" s="4" t="s">
        <v>55</v>
      </c>
      <c r="D23" s="4" t="s">
        <v>59</v>
      </c>
      <c r="E23" s="4" t="s">
        <v>60</v>
      </c>
      <c r="F23" s="4" t="s">
        <v>67</v>
      </c>
      <c r="G23" s="30" t="s">
        <v>1</v>
      </c>
    </row>
    <row r="24" spans="1:8" x14ac:dyDescent="0.2">
      <c r="A24" s="53" t="s">
        <v>65</v>
      </c>
      <c r="B24" s="132"/>
      <c r="C24" s="132"/>
      <c r="D24" s="54">
        <f>D7/D18</f>
        <v>9.3157894736842106</v>
      </c>
      <c r="E24" s="54">
        <f>E7/E18</f>
        <v>5.617647058823529</v>
      </c>
      <c r="F24" s="54">
        <f>F7/F18</f>
        <v>5.4</v>
      </c>
      <c r="G24" s="45">
        <f>AVERAGE(B24:F24)</f>
        <v>6.7778121775025797</v>
      </c>
    </row>
    <row r="25" spans="1:8" ht="13.5" thickBot="1" x14ac:dyDescent="0.25">
      <c r="A25" s="55" t="s">
        <v>64</v>
      </c>
      <c r="B25" s="133"/>
      <c r="C25" s="133"/>
      <c r="D25" s="133"/>
      <c r="E25" s="133"/>
      <c r="F25" s="133"/>
      <c r="G25" s="120"/>
    </row>
    <row r="26" spans="1:8" ht="9.9499999999999993" customHeight="1" thickBot="1" x14ac:dyDescent="0.25">
      <c r="A26" s="58"/>
      <c r="B26" s="59"/>
      <c r="C26" s="59"/>
      <c r="D26" s="59"/>
      <c r="E26" s="59"/>
      <c r="F26" s="95"/>
      <c r="G26" s="59"/>
      <c r="H26" s="59"/>
    </row>
    <row r="27" spans="1:8" x14ac:dyDescent="0.2">
      <c r="A27" s="18" t="s">
        <v>68</v>
      </c>
      <c r="B27" s="19"/>
      <c r="C27" s="19"/>
      <c r="D27" s="19"/>
      <c r="E27" s="19"/>
      <c r="F27" s="21"/>
      <c r="G27" s="20"/>
    </row>
    <row r="28" spans="1:8" x14ac:dyDescent="0.2">
      <c r="A28" s="29" t="s">
        <v>7</v>
      </c>
      <c r="B28" s="4" t="s">
        <v>53</v>
      </c>
      <c r="C28" s="4" t="s">
        <v>55</v>
      </c>
      <c r="D28" s="4" t="s">
        <v>59</v>
      </c>
      <c r="E28" s="4" t="s">
        <v>60</v>
      </c>
      <c r="F28" s="4" t="s">
        <v>67</v>
      </c>
      <c r="G28" s="30" t="s">
        <v>1</v>
      </c>
    </row>
    <row r="29" spans="1:8" x14ac:dyDescent="0.2">
      <c r="A29" s="60" t="s">
        <v>66</v>
      </c>
      <c r="B29" s="96">
        <v>1086</v>
      </c>
      <c r="C29" s="96">
        <v>1257</v>
      </c>
      <c r="D29" s="96">
        <v>1634</v>
      </c>
      <c r="E29" s="96">
        <v>1946</v>
      </c>
      <c r="F29" s="96">
        <v>1829</v>
      </c>
      <c r="G29" s="62">
        <f>AVERAGE(B29:F29)</f>
        <v>1550.4</v>
      </c>
    </row>
    <row r="30" spans="1:8" x14ac:dyDescent="0.2">
      <c r="A30" s="60" t="s">
        <v>8</v>
      </c>
      <c r="B30" s="146"/>
      <c r="C30" s="146"/>
      <c r="D30" s="146"/>
      <c r="E30" s="146"/>
      <c r="F30" s="146"/>
      <c r="G30" s="112"/>
    </row>
    <row r="31" spans="1:8" ht="13.5" thickBot="1" x14ac:dyDescent="0.25">
      <c r="A31" s="22" t="s">
        <v>4</v>
      </c>
      <c r="B31" s="23">
        <f>SUM(B29:B30)</f>
        <v>1086</v>
      </c>
      <c r="C31" s="23">
        <f>SUM(C29:C30)</f>
        <v>1257</v>
      </c>
      <c r="D31" s="23">
        <f>SUM(D29:D30)</f>
        <v>1634</v>
      </c>
      <c r="E31" s="23">
        <f>SUM(E29:E30)</f>
        <v>1946</v>
      </c>
      <c r="F31" s="23">
        <f>SUM(F29:F30)</f>
        <v>1829</v>
      </c>
      <c r="G31" s="24">
        <f>AVERAGE(B31:F31)</f>
        <v>1550.4</v>
      </c>
    </row>
    <row r="32" spans="1:8" ht="9.9499999999999993" customHeight="1" thickBot="1" x14ac:dyDescent="0.25"/>
    <row r="33" spans="1:8" x14ac:dyDescent="0.2">
      <c r="A33" s="18" t="s">
        <v>70</v>
      </c>
      <c r="B33" s="19"/>
      <c r="C33" s="19"/>
      <c r="D33" s="19"/>
      <c r="E33" s="19"/>
      <c r="F33" s="21"/>
      <c r="G33" s="20"/>
    </row>
    <row r="34" spans="1:8" x14ac:dyDescent="0.2">
      <c r="A34" s="29" t="s">
        <v>7</v>
      </c>
      <c r="B34" s="4" t="s">
        <v>53</v>
      </c>
      <c r="C34" s="4" t="s">
        <v>55</v>
      </c>
      <c r="D34" s="4" t="s">
        <v>59</v>
      </c>
      <c r="E34" s="4" t="s">
        <v>60</v>
      </c>
      <c r="F34" s="4" t="s">
        <v>67</v>
      </c>
      <c r="G34" s="30" t="s">
        <v>1</v>
      </c>
    </row>
    <row r="35" spans="1:8" x14ac:dyDescent="0.2">
      <c r="A35" s="60" t="s">
        <v>41</v>
      </c>
      <c r="B35" s="94">
        <v>18.100000000000001</v>
      </c>
      <c r="C35" s="94">
        <v>18.2</v>
      </c>
      <c r="D35" s="63">
        <v>19.3</v>
      </c>
      <c r="E35" s="63">
        <v>20.6</v>
      </c>
      <c r="F35" s="63">
        <v>20.5</v>
      </c>
      <c r="G35" s="45">
        <f>AVERAGE(B35:F35)</f>
        <v>19.339999999999996</v>
      </c>
    </row>
    <row r="36" spans="1:8" ht="13.5" thickBot="1" x14ac:dyDescent="0.25">
      <c r="A36" s="64" t="s">
        <v>8</v>
      </c>
      <c r="B36" s="147"/>
      <c r="C36" s="147"/>
      <c r="D36" s="147"/>
      <c r="E36" s="147"/>
      <c r="F36" s="147"/>
      <c r="G36" s="120"/>
    </row>
    <row r="37" spans="1:8" ht="9.9499999999999993" customHeight="1" thickBot="1" x14ac:dyDescent="0.25">
      <c r="A37" s="66"/>
    </row>
    <row r="38" spans="1:8" x14ac:dyDescent="0.2">
      <c r="A38" s="18" t="s">
        <v>73</v>
      </c>
      <c r="B38" s="19"/>
      <c r="C38" s="19"/>
      <c r="D38" s="19"/>
      <c r="E38" s="19"/>
      <c r="F38" s="21"/>
      <c r="G38" s="20"/>
    </row>
    <row r="39" spans="1:8" x14ac:dyDescent="0.2">
      <c r="A39" s="29" t="s">
        <v>9</v>
      </c>
      <c r="B39" s="4" t="s">
        <v>53</v>
      </c>
      <c r="C39" s="4" t="s">
        <v>55</v>
      </c>
      <c r="D39" s="4" t="s">
        <v>59</v>
      </c>
      <c r="E39" s="4" t="s">
        <v>60</v>
      </c>
      <c r="F39" s="4" t="s">
        <v>67</v>
      </c>
      <c r="G39" s="30" t="s">
        <v>1</v>
      </c>
    </row>
    <row r="40" spans="1:8" x14ac:dyDescent="0.2">
      <c r="A40" s="60" t="s">
        <v>2</v>
      </c>
      <c r="B40" s="94">
        <v>2</v>
      </c>
      <c r="C40" s="94">
        <v>3</v>
      </c>
      <c r="D40" s="94">
        <v>3</v>
      </c>
      <c r="E40" s="94">
        <v>3</v>
      </c>
      <c r="F40" s="94">
        <v>3</v>
      </c>
      <c r="G40" s="45">
        <f>AVERAGE(B40:F40)</f>
        <v>2.8</v>
      </c>
    </row>
    <row r="41" spans="1:8" x14ac:dyDescent="0.2">
      <c r="A41" s="60" t="s">
        <v>3</v>
      </c>
      <c r="B41" s="94">
        <v>1</v>
      </c>
      <c r="C41" s="94">
        <v>0</v>
      </c>
      <c r="D41" s="94">
        <v>2</v>
      </c>
      <c r="E41" s="94">
        <v>5</v>
      </c>
      <c r="F41" s="94">
        <v>4</v>
      </c>
      <c r="G41" s="45">
        <f>AVERAGE(B41:F41)</f>
        <v>2.4</v>
      </c>
    </row>
    <row r="42" spans="1:8" x14ac:dyDescent="0.2">
      <c r="A42" s="13" t="s">
        <v>4</v>
      </c>
      <c r="B42" s="14">
        <f>SUM(B40:B41)</f>
        <v>3</v>
      </c>
      <c r="C42" s="14">
        <f>SUM(C40:C41)</f>
        <v>3</v>
      </c>
      <c r="D42" s="14">
        <f>SUM(D40:D41)</f>
        <v>5</v>
      </c>
      <c r="E42" s="14">
        <f>SUM(E40:E41)</f>
        <v>8</v>
      </c>
      <c r="F42" s="14">
        <f>SUM(F40:F41)</f>
        <v>7</v>
      </c>
      <c r="G42" s="17">
        <f>AVERAGE(B42:F42)</f>
        <v>5.2</v>
      </c>
    </row>
    <row r="43" spans="1:8" ht="13.5" thickBot="1" x14ac:dyDescent="0.25">
      <c r="A43" s="39" t="s">
        <v>49</v>
      </c>
      <c r="B43" s="40">
        <f>B40+(B41/3)</f>
        <v>2.3333333333333335</v>
      </c>
      <c r="C43" s="40">
        <f>C40+(C41/3)</f>
        <v>3</v>
      </c>
      <c r="D43" s="40">
        <f>D40+(D41/3)</f>
        <v>3.6666666666666665</v>
      </c>
      <c r="E43" s="40">
        <f>E40+(E41/3)</f>
        <v>4.666666666666667</v>
      </c>
      <c r="F43" s="40">
        <f>F40+(F41/3)</f>
        <v>4.333333333333333</v>
      </c>
      <c r="G43" s="67">
        <f>AVERAGE(B43:F43)</f>
        <v>3.6</v>
      </c>
    </row>
    <row r="44" spans="1:8" ht="9.9499999999999993" customHeight="1" thickBot="1" x14ac:dyDescent="0.25">
      <c r="A44" s="58"/>
    </row>
    <row r="45" spans="1:8" x14ac:dyDescent="0.2">
      <c r="A45" s="18" t="s">
        <v>20</v>
      </c>
      <c r="B45" s="19"/>
      <c r="C45" s="19"/>
      <c r="D45" s="19"/>
      <c r="E45" s="19"/>
      <c r="F45" s="21"/>
      <c r="G45" s="20"/>
    </row>
    <row r="46" spans="1:8" x14ac:dyDescent="0.2">
      <c r="A46" s="68"/>
      <c r="B46" s="4" t="s">
        <v>53</v>
      </c>
      <c r="C46" s="4" t="s">
        <v>55</v>
      </c>
      <c r="D46" s="4" t="s">
        <v>59</v>
      </c>
      <c r="E46" s="4" t="s">
        <v>60</v>
      </c>
      <c r="F46" s="4" t="s">
        <v>67</v>
      </c>
      <c r="G46" s="30" t="s">
        <v>1</v>
      </c>
    </row>
    <row r="47" spans="1:8" ht="13.5" thickBot="1" x14ac:dyDescent="0.25">
      <c r="A47" s="55" t="s">
        <v>6</v>
      </c>
      <c r="B47" s="69">
        <f>(B8+B14)/B43</f>
        <v>31.428571428571423</v>
      </c>
      <c r="C47" s="56">
        <f>(C8+C14)/C43</f>
        <v>45.888888888888886</v>
      </c>
      <c r="D47" s="56">
        <f>(D8+D14)/D43</f>
        <v>43.909090909090914</v>
      </c>
      <c r="E47" s="56">
        <f>(E8+E14)/E43</f>
        <v>33.785714285714285</v>
      </c>
      <c r="F47" s="56">
        <f>(F8+F14)/F43</f>
        <v>35.61538461538462</v>
      </c>
      <c r="G47" s="57">
        <f>AVERAGE(B47:F47)</f>
        <v>38.125530025530018</v>
      </c>
    </row>
    <row r="48" spans="1:8" ht="9.9499999999999993" customHeight="1" thickBot="1" x14ac:dyDescent="0.25">
      <c r="B48" s="58"/>
      <c r="C48" s="58"/>
      <c r="D48" s="58"/>
      <c r="E48" s="58"/>
      <c r="G48" s="66"/>
      <c r="H48" s="58"/>
    </row>
    <row r="49" spans="1:8" x14ac:dyDescent="0.2">
      <c r="A49" s="18" t="s">
        <v>58</v>
      </c>
      <c r="B49" s="19"/>
      <c r="C49" s="19"/>
      <c r="D49" s="19"/>
      <c r="E49" s="19"/>
      <c r="F49" s="21"/>
      <c r="G49" s="20"/>
    </row>
    <row r="50" spans="1:8" x14ac:dyDescent="0.2">
      <c r="A50" s="68"/>
      <c r="B50" s="4" t="s">
        <v>53</v>
      </c>
      <c r="C50" s="4" t="s">
        <v>55</v>
      </c>
      <c r="D50" s="4" t="s">
        <v>59</v>
      </c>
      <c r="E50" s="4" t="s">
        <v>60</v>
      </c>
      <c r="F50" s="4" t="s">
        <v>67</v>
      </c>
      <c r="G50" s="30" t="s">
        <v>1</v>
      </c>
    </row>
    <row r="51" spans="1:8" ht="13.5" thickBot="1" x14ac:dyDescent="0.25">
      <c r="A51" s="55" t="s">
        <v>10</v>
      </c>
      <c r="B51" s="69">
        <f>B31/B43</f>
        <v>465.42857142857139</v>
      </c>
      <c r="C51" s="56">
        <f>C31/C43</f>
        <v>419</v>
      </c>
      <c r="D51" s="56">
        <f>D31/D43</f>
        <v>445.63636363636363</v>
      </c>
      <c r="E51" s="56">
        <f>E31/E43</f>
        <v>417</v>
      </c>
      <c r="F51" s="56">
        <f>F31/F43</f>
        <v>422.07692307692309</v>
      </c>
      <c r="G51" s="57">
        <f>AVERAGE(B51:F51)</f>
        <v>433.82837162837166</v>
      </c>
    </row>
    <row r="52" spans="1:8" ht="9.9499999999999993" customHeight="1" thickBot="1" x14ac:dyDescent="0.25">
      <c r="B52" s="58"/>
      <c r="C52" s="58"/>
      <c r="D52" s="58"/>
      <c r="E52" s="58"/>
      <c r="F52" s="66"/>
      <c r="G52" s="58"/>
      <c r="H52" s="58"/>
    </row>
    <row r="53" spans="1:8" x14ac:dyDescent="0.2">
      <c r="A53" s="18" t="s">
        <v>71</v>
      </c>
      <c r="B53" s="19"/>
      <c r="C53" s="19"/>
      <c r="D53" s="19"/>
      <c r="E53" s="19"/>
      <c r="F53" s="21"/>
      <c r="G53" s="20"/>
    </row>
    <row r="54" spans="1:8" x14ac:dyDescent="0.2">
      <c r="A54" s="68"/>
      <c r="B54" s="4" t="s">
        <v>53</v>
      </c>
      <c r="C54" s="4" t="s">
        <v>55</v>
      </c>
      <c r="D54" s="4" t="s">
        <v>59</v>
      </c>
      <c r="E54" s="4" t="s">
        <v>60</v>
      </c>
      <c r="F54" s="4" t="s">
        <v>67</v>
      </c>
      <c r="G54" s="30" t="s">
        <v>1</v>
      </c>
    </row>
    <row r="55" spans="1:8" ht="13.5" thickBot="1" x14ac:dyDescent="0.25">
      <c r="A55" s="55" t="s">
        <v>11</v>
      </c>
      <c r="B55" s="86">
        <v>314337</v>
      </c>
      <c r="C55" s="86">
        <f>343097.4+5793</f>
        <v>348890.4</v>
      </c>
      <c r="D55" s="86">
        <f>327294.04+5583</f>
        <v>332877.03999999998</v>
      </c>
      <c r="E55" s="86">
        <v>338607</v>
      </c>
      <c r="F55" s="86">
        <v>368350</v>
      </c>
      <c r="G55" s="74">
        <f>AVERAGE(B55:F55)</f>
        <v>340612.288</v>
      </c>
    </row>
    <row r="56" spans="1:8" ht="9.9499999999999993" customHeight="1" thickBot="1" x14ac:dyDescent="0.25">
      <c r="B56" s="58"/>
      <c r="C56" s="58"/>
      <c r="D56" s="58"/>
      <c r="E56" s="58"/>
      <c r="F56" s="66"/>
      <c r="G56" s="58"/>
      <c r="H56" s="58"/>
    </row>
    <row r="57" spans="1:8" x14ac:dyDescent="0.2">
      <c r="A57" s="18" t="s">
        <v>72</v>
      </c>
      <c r="B57" s="19"/>
      <c r="C57" s="19"/>
      <c r="D57" s="19"/>
      <c r="E57" s="19"/>
      <c r="F57" s="21"/>
      <c r="G57" s="20"/>
    </row>
    <row r="58" spans="1:8" x14ac:dyDescent="0.2">
      <c r="A58" s="68"/>
      <c r="B58" s="4" t="s">
        <v>53</v>
      </c>
      <c r="C58" s="4" t="s">
        <v>55</v>
      </c>
      <c r="D58" s="4" t="s">
        <v>59</v>
      </c>
      <c r="E58" s="4" t="s">
        <v>60</v>
      </c>
      <c r="F58" s="4" t="s">
        <v>67</v>
      </c>
      <c r="G58" s="30" t="s">
        <v>1</v>
      </c>
    </row>
    <row r="59" spans="1:8" ht="13.5" thickBot="1" x14ac:dyDescent="0.25">
      <c r="A59" s="55" t="s">
        <v>12</v>
      </c>
      <c r="B59" s="75">
        <f>B55/B31</f>
        <v>289.4447513812155</v>
      </c>
      <c r="C59" s="76">
        <f>C55/C31</f>
        <v>277.55799522673033</v>
      </c>
      <c r="D59" s="76">
        <f>D55/D31</f>
        <v>203.71911872705016</v>
      </c>
      <c r="E59" s="76">
        <f>E55/E31</f>
        <v>174.00154162384379</v>
      </c>
      <c r="F59" s="76">
        <f>F55/F31</f>
        <v>201.39420448332422</v>
      </c>
      <c r="G59" s="74">
        <f>AVERAGE(B59:F59)</f>
        <v>229.22352228843278</v>
      </c>
    </row>
    <row r="60" spans="1:8" ht="13.5" thickBot="1" x14ac:dyDescent="0.25"/>
    <row r="61" spans="1:8" x14ac:dyDescent="0.2">
      <c r="A61" s="18" t="s">
        <v>74</v>
      </c>
      <c r="B61" s="19"/>
      <c r="C61" s="19"/>
      <c r="D61" s="19"/>
      <c r="E61" s="19"/>
      <c r="F61" s="21"/>
      <c r="G61" s="20"/>
    </row>
    <row r="62" spans="1:8" x14ac:dyDescent="0.2">
      <c r="A62" s="68"/>
      <c r="B62" s="4" t="s">
        <v>53</v>
      </c>
      <c r="C62" s="4" t="s">
        <v>55</v>
      </c>
      <c r="D62" s="4" t="s">
        <v>59</v>
      </c>
      <c r="E62" s="4" t="s">
        <v>60</v>
      </c>
      <c r="F62" s="4" t="s">
        <v>67</v>
      </c>
      <c r="G62" s="30" t="s">
        <v>1</v>
      </c>
    </row>
    <row r="63" spans="1:8" ht="13.5" thickBot="1" x14ac:dyDescent="0.25">
      <c r="A63" s="55" t="s">
        <v>12</v>
      </c>
      <c r="B63" s="75">
        <f>B55/B43</f>
        <v>134715.85714285713</v>
      </c>
      <c r="C63" s="75">
        <f t="shared" ref="C63:F63" si="3">C55/C43</f>
        <v>116296.8</v>
      </c>
      <c r="D63" s="75">
        <f t="shared" si="3"/>
        <v>90784.647272727278</v>
      </c>
      <c r="E63" s="75">
        <f t="shared" si="3"/>
        <v>72558.642857142855</v>
      </c>
      <c r="F63" s="75">
        <f t="shared" si="3"/>
        <v>85003.846153846156</v>
      </c>
      <c r="G63" s="74">
        <f>AVERAGE(B63:F63)</f>
        <v>99871.958685314676</v>
      </c>
    </row>
  </sheetData>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16</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179</v>
      </c>
      <c r="C5" s="33">
        <v>171</v>
      </c>
      <c r="D5" s="32">
        <v>144</v>
      </c>
      <c r="E5" s="32">
        <v>136</v>
      </c>
      <c r="F5" s="32">
        <v>129</v>
      </c>
      <c r="G5" s="34">
        <f>AVERAGE(B5:F5)</f>
        <v>151.80000000000001</v>
      </c>
    </row>
    <row r="6" spans="1:8" x14ac:dyDescent="0.2">
      <c r="A6" s="31" t="s">
        <v>3</v>
      </c>
      <c r="B6" s="32">
        <v>29</v>
      </c>
      <c r="C6" s="33">
        <v>29</v>
      </c>
      <c r="D6" s="32">
        <v>23</v>
      </c>
      <c r="E6" s="32">
        <v>22</v>
      </c>
      <c r="F6" s="32">
        <v>28</v>
      </c>
      <c r="G6" s="34">
        <f>AVERAGE(B6:F6)</f>
        <v>26.2</v>
      </c>
    </row>
    <row r="7" spans="1:8" x14ac:dyDescent="0.2">
      <c r="A7" s="13" t="s">
        <v>4</v>
      </c>
      <c r="B7" s="14">
        <f>SUM(B5:B6)</f>
        <v>208</v>
      </c>
      <c r="C7" s="14">
        <f>SUM(C5:C6)</f>
        <v>200</v>
      </c>
      <c r="D7" s="14">
        <f>SUM(D5:D6)</f>
        <v>167</v>
      </c>
      <c r="E7" s="15">
        <f>SUM(E5:E6)</f>
        <v>158</v>
      </c>
      <c r="F7" s="15">
        <f>SUM(F5:F6)</f>
        <v>157</v>
      </c>
      <c r="G7" s="17">
        <f>AVERAGE(B7:F7)</f>
        <v>178</v>
      </c>
    </row>
    <row r="8" spans="1:8" ht="13.5" thickBot="1" x14ac:dyDescent="0.25">
      <c r="A8" s="35" t="s">
        <v>48</v>
      </c>
      <c r="B8" s="36">
        <f>B5+(B6/3)</f>
        <v>188.66666666666666</v>
      </c>
      <c r="C8" s="36">
        <f>C5+(C6/3)</f>
        <v>180.66666666666666</v>
      </c>
      <c r="D8" s="36">
        <f>D5+(D6/3)</f>
        <v>151.66666666666666</v>
      </c>
      <c r="E8" s="37">
        <f>E5+(E6/3)</f>
        <v>143.33333333333334</v>
      </c>
      <c r="F8" s="37">
        <f>F5+(F6/3)</f>
        <v>138.33333333333334</v>
      </c>
      <c r="G8" s="38">
        <f>AVERAGE(B8:F8)</f>
        <v>160.53333333333336</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32">
        <v>6</v>
      </c>
      <c r="C11" s="33">
        <v>6</v>
      </c>
      <c r="D11" s="32">
        <v>8</v>
      </c>
      <c r="E11" s="32">
        <v>7</v>
      </c>
      <c r="F11" s="32">
        <v>3</v>
      </c>
      <c r="G11" s="34">
        <f>AVERAGE(B11:F11)</f>
        <v>6</v>
      </c>
    </row>
    <row r="12" spans="1:8" x14ac:dyDescent="0.2">
      <c r="A12" s="31" t="s">
        <v>3</v>
      </c>
      <c r="B12" s="32">
        <v>20</v>
      </c>
      <c r="C12" s="33">
        <v>10</v>
      </c>
      <c r="D12" s="32">
        <v>9</v>
      </c>
      <c r="E12" s="32">
        <v>8</v>
      </c>
      <c r="F12" s="32">
        <v>14</v>
      </c>
      <c r="G12" s="34">
        <f>AVERAGE(B12:F12)</f>
        <v>12.2</v>
      </c>
    </row>
    <row r="13" spans="1:8" x14ac:dyDescent="0.2">
      <c r="A13" s="13" t="s">
        <v>4</v>
      </c>
      <c r="B13" s="14">
        <f>SUM(B11:B12)</f>
        <v>26</v>
      </c>
      <c r="C13" s="14">
        <f>SUM(C11:C12)</f>
        <v>16</v>
      </c>
      <c r="D13" s="14">
        <f>SUM(D11:D12)</f>
        <v>17</v>
      </c>
      <c r="E13" s="15">
        <f>SUM(E11:E12)</f>
        <v>15</v>
      </c>
      <c r="F13" s="14">
        <f>SUM(F11:F12)</f>
        <v>17</v>
      </c>
      <c r="G13" s="16">
        <f>AVERAGE(B13:F13)</f>
        <v>18.2</v>
      </c>
    </row>
    <row r="14" spans="1:8" ht="13.5" thickBot="1" x14ac:dyDescent="0.25">
      <c r="A14" s="39" t="s">
        <v>48</v>
      </c>
      <c r="B14" s="40">
        <f>B11+(B12/3)</f>
        <v>12.666666666666668</v>
      </c>
      <c r="C14" s="40">
        <f>C11+(C12/3)</f>
        <v>9.3333333333333339</v>
      </c>
      <c r="D14" s="40">
        <f>D11+(D12/3)</f>
        <v>11</v>
      </c>
      <c r="E14" s="41">
        <f>E11+(E12/3)</f>
        <v>9.6666666666666661</v>
      </c>
      <c r="F14" s="40">
        <f>F11+(F12/3)</f>
        <v>7.666666666666667</v>
      </c>
      <c r="G14" s="42">
        <f>AVERAGE(B14:F14)</f>
        <v>10.066666666666666</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28</v>
      </c>
      <c r="C18" s="32">
        <v>39</v>
      </c>
      <c r="D18" s="32">
        <v>35</v>
      </c>
      <c r="E18" s="32">
        <v>32</v>
      </c>
      <c r="F18" s="32">
        <v>26</v>
      </c>
      <c r="G18" s="45">
        <f>AVERAGE(B18:F18)</f>
        <v>32</v>
      </c>
    </row>
    <row r="19" spans="1:8" x14ac:dyDescent="0.2">
      <c r="A19" s="46" t="s">
        <v>63</v>
      </c>
      <c r="B19" s="47">
        <v>10</v>
      </c>
      <c r="C19" s="47">
        <v>6</v>
      </c>
      <c r="D19" s="47">
        <v>3</v>
      </c>
      <c r="E19" s="47">
        <v>3</v>
      </c>
      <c r="F19" s="47">
        <v>3</v>
      </c>
      <c r="G19" s="48">
        <f>AVERAGE(B19:F19)</f>
        <v>5</v>
      </c>
    </row>
    <row r="20" spans="1:8" ht="13.5" thickBot="1" x14ac:dyDescent="0.25">
      <c r="A20" s="49" t="s">
        <v>4</v>
      </c>
      <c r="B20" s="79">
        <f>B19+B18</f>
        <v>38</v>
      </c>
      <c r="C20" s="79">
        <f t="shared" ref="C20:F20" si="0">C19+C18</f>
        <v>45</v>
      </c>
      <c r="D20" s="79">
        <f t="shared" si="0"/>
        <v>38</v>
      </c>
      <c r="E20" s="79">
        <f t="shared" si="0"/>
        <v>35</v>
      </c>
      <c r="F20" s="79">
        <f t="shared" si="0"/>
        <v>29</v>
      </c>
      <c r="G20" s="51">
        <f>AVERAGE(B20:F20)</f>
        <v>37</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7.4285714285714288</v>
      </c>
      <c r="C24" s="54">
        <f>C7/C18</f>
        <v>5.1282051282051286</v>
      </c>
      <c r="D24" s="54">
        <f>D7/D18</f>
        <v>4.7714285714285714</v>
      </c>
      <c r="E24" s="54">
        <f>E7/E18</f>
        <v>4.9375</v>
      </c>
      <c r="F24" s="54">
        <f>F7/F18</f>
        <v>6.0384615384615383</v>
      </c>
      <c r="G24" s="45">
        <f>AVERAGE(B24:F24)</f>
        <v>5.6608333333333336</v>
      </c>
    </row>
    <row r="25" spans="1:8" ht="13.5" thickBot="1" x14ac:dyDescent="0.25">
      <c r="A25" s="55" t="s">
        <v>64</v>
      </c>
      <c r="B25" s="56">
        <f>B13/B19</f>
        <v>2.6</v>
      </c>
      <c r="C25" s="56">
        <f>C13/C19</f>
        <v>2.6666666666666665</v>
      </c>
      <c r="D25" s="56">
        <f>D13/D19</f>
        <v>5.666666666666667</v>
      </c>
      <c r="E25" s="56">
        <f>E13/E19</f>
        <v>5</v>
      </c>
      <c r="F25" s="56">
        <f>F13/F19</f>
        <v>5.666666666666667</v>
      </c>
      <c r="G25" s="57">
        <f>AVERAGE(B25:F25)</f>
        <v>4.32</v>
      </c>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16955</v>
      </c>
      <c r="C29" s="61">
        <v>16179</v>
      </c>
      <c r="D29" s="61">
        <v>15655</v>
      </c>
      <c r="E29" s="61">
        <v>14829</v>
      </c>
      <c r="F29" s="61">
        <v>14980</v>
      </c>
      <c r="G29" s="62">
        <f>AVERAGE(B29:F29)</f>
        <v>15719.6</v>
      </c>
    </row>
    <row r="30" spans="1:8" x14ac:dyDescent="0.2">
      <c r="A30" s="60" t="s">
        <v>8</v>
      </c>
      <c r="B30" s="61">
        <v>429</v>
      </c>
      <c r="C30" s="61">
        <v>303</v>
      </c>
      <c r="D30" s="61">
        <v>396</v>
      </c>
      <c r="E30" s="61">
        <v>354</v>
      </c>
      <c r="F30" s="61">
        <v>354</v>
      </c>
      <c r="G30" s="62">
        <f>AVERAGE(B30:F30)</f>
        <v>367.2</v>
      </c>
    </row>
    <row r="31" spans="1:8" ht="13.5" thickBot="1" x14ac:dyDescent="0.25">
      <c r="A31" s="22" t="s">
        <v>4</v>
      </c>
      <c r="B31" s="23">
        <f>SUM(B29:B30)</f>
        <v>17384</v>
      </c>
      <c r="C31" s="23">
        <f>SUM(C29:C30)</f>
        <v>16482</v>
      </c>
      <c r="D31" s="23">
        <f>SUM(D29:D30)</f>
        <v>16051</v>
      </c>
      <c r="E31" s="23">
        <f>SUM(E29:E30)</f>
        <v>15183</v>
      </c>
      <c r="F31" s="23">
        <f>SUM(F29:F30)</f>
        <v>15334</v>
      </c>
      <c r="G31" s="24">
        <f>AVERAGE(B31:F31)</f>
        <v>16086.8</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25.9</v>
      </c>
      <c r="C35" s="32">
        <v>23.2</v>
      </c>
      <c r="D35" s="63">
        <v>24</v>
      </c>
      <c r="E35" s="63">
        <v>22.8</v>
      </c>
      <c r="F35" s="63">
        <v>22.7</v>
      </c>
      <c r="G35" s="45">
        <f>AVERAGE(B35:F35)</f>
        <v>23.72</v>
      </c>
    </row>
    <row r="36" spans="1:8" ht="13.5" thickBot="1" x14ac:dyDescent="0.25">
      <c r="A36" s="64" t="s">
        <v>8</v>
      </c>
      <c r="B36" s="65">
        <v>8.1999999999999993</v>
      </c>
      <c r="C36" s="65">
        <v>8.5</v>
      </c>
      <c r="D36" s="65">
        <v>7.3</v>
      </c>
      <c r="E36" s="158">
        <v>8</v>
      </c>
      <c r="F36" s="65">
        <v>7.6</v>
      </c>
      <c r="G36" s="57">
        <f>AVERAGE(B36:F36)</f>
        <v>7.92</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21</v>
      </c>
      <c r="C40" s="32">
        <v>21</v>
      </c>
      <c r="D40" s="32">
        <v>20</v>
      </c>
      <c r="E40" s="32">
        <v>20</v>
      </c>
      <c r="F40" s="32">
        <v>20</v>
      </c>
      <c r="G40" s="45">
        <f>AVERAGE(B40:F40)</f>
        <v>20.399999999999999</v>
      </c>
    </row>
    <row r="41" spans="1:8" x14ac:dyDescent="0.2">
      <c r="A41" s="60" t="s">
        <v>3</v>
      </c>
      <c r="B41" s="32">
        <v>16</v>
      </c>
      <c r="C41" s="32">
        <v>14</v>
      </c>
      <c r="D41" s="32">
        <v>13</v>
      </c>
      <c r="E41" s="32">
        <v>11</v>
      </c>
      <c r="F41" s="32">
        <v>18</v>
      </c>
      <c r="G41" s="45">
        <f>AVERAGE(B41:F41)</f>
        <v>14.4</v>
      </c>
    </row>
    <row r="42" spans="1:8" x14ac:dyDescent="0.2">
      <c r="A42" s="13" t="s">
        <v>4</v>
      </c>
      <c r="B42" s="14">
        <f>SUM(B40:B41)</f>
        <v>37</v>
      </c>
      <c r="C42" s="14">
        <f>SUM(C40:C41)</f>
        <v>35</v>
      </c>
      <c r="D42" s="14">
        <f>SUM(D40:D41)</f>
        <v>33</v>
      </c>
      <c r="E42" s="14">
        <f>SUM(E40:E41)</f>
        <v>31</v>
      </c>
      <c r="F42" s="14">
        <f>SUM(F40:F41)</f>
        <v>38</v>
      </c>
      <c r="G42" s="17">
        <f>AVERAGE(B42:F42)</f>
        <v>34.799999999999997</v>
      </c>
    </row>
    <row r="43" spans="1:8" ht="13.5" thickBot="1" x14ac:dyDescent="0.25">
      <c r="A43" s="39" t="s">
        <v>49</v>
      </c>
      <c r="B43" s="40">
        <f>B40+(B41/3)</f>
        <v>26.333333333333332</v>
      </c>
      <c r="C43" s="40">
        <f>C40+(C41/3)</f>
        <v>25.666666666666668</v>
      </c>
      <c r="D43" s="40">
        <f>D40+(D41/3)</f>
        <v>24.333333333333332</v>
      </c>
      <c r="E43" s="40">
        <f>E40+(E41/3)</f>
        <v>23.666666666666668</v>
      </c>
      <c r="F43" s="40">
        <f>F40+(F41/3)</f>
        <v>26</v>
      </c>
      <c r="G43" s="67">
        <f>AVERAGE(B43:F43)</f>
        <v>25.2</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7.6455696202531644</v>
      </c>
      <c r="C47" s="56">
        <f>(C8+C14)/C43</f>
        <v>7.4025974025974026</v>
      </c>
      <c r="D47" s="56">
        <f>(D8+D14)/D43</f>
        <v>6.6849315068493151</v>
      </c>
      <c r="E47" s="56">
        <f>(E8+E14)/E43</f>
        <v>6.464788732394366</v>
      </c>
      <c r="F47" s="56">
        <f>(F8+F14)/F43</f>
        <v>5.615384615384615</v>
      </c>
      <c r="G47" s="57">
        <f>AVERAGE(B47:F47)</f>
        <v>6.7626543754957726</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660.15189873417728</v>
      </c>
      <c r="C51" s="56">
        <f>C31/C43</f>
        <v>642.15584415584408</v>
      </c>
      <c r="D51" s="56">
        <f>D31/D43</f>
        <v>659.63013698630141</v>
      </c>
      <c r="E51" s="56">
        <f>E31/E43</f>
        <v>641.53521126760563</v>
      </c>
      <c r="F51" s="56">
        <f>F31/F43</f>
        <v>589.76923076923072</v>
      </c>
      <c r="G51" s="57">
        <f>AVERAGE(B51:F51)</f>
        <v>638.6484643826318</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1530361</v>
      </c>
      <c r="C55" s="73">
        <v>1751393</v>
      </c>
      <c r="D55" s="73">
        <f>1711657.72</f>
        <v>1711657.72</v>
      </c>
      <c r="E55" s="73">
        <v>1773719</v>
      </c>
      <c r="F55" s="73">
        <v>1943011</v>
      </c>
      <c r="G55" s="74">
        <f>AVERAGE(B55:F55)</f>
        <v>1742028.3439999998</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88.032731247123792</v>
      </c>
      <c r="C59" s="76">
        <f>C55/C31</f>
        <v>106.26095134085669</v>
      </c>
      <c r="D59" s="76">
        <f>D55/D31</f>
        <v>106.63869665441405</v>
      </c>
      <c r="E59" s="76">
        <f>E55/E31</f>
        <v>116.82269643680432</v>
      </c>
      <c r="F59" s="76">
        <f>F55/F31</f>
        <v>126.71259945219774</v>
      </c>
      <c r="G59" s="74">
        <f>AVERAGE(B59:F59)</f>
        <v>108.89353502627932</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58114.974683544307</v>
      </c>
      <c r="C63" s="75">
        <f t="shared" ref="C63:F63" si="1">C55/C43</f>
        <v>68236.090909090912</v>
      </c>
      <c r="D63" s="75">
        <f t="shared" si="1"/>
        <v>70342.098082191776</v>
      </c>
      <c r="E63" s="75">
        <f t="shared" si="1"/>
        <v>74945.873239436609</v>
      </c>
      <c r="F63" s="75">
        <f t="shared" si="1"/>
        <v>74731.192307692312</v>
      </c>
      <c r="G63" s="74">
        <f>AVERAGE(B63:F63)</f>
        <v>69274.045844391192</v>
      </c>
    </row>
  </sheetData>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186" t="s">
        <v>36</v>
      </c>
      <c r="C1" s="188"/>
      <c r="D1" s="188"/>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42</v>
      </c>
      <c r="C5" s="33">
        <v>48</v>
      </c>
      <c r="D5" s="32">
        <v>54</v>
      </c>
      <c r="E5" s="32">
        <v>53</v>
      </c>
      <c r="F5" s="32">
        <v>56</v>
      </c>
      <c r="G5" s="34">
        <f>AVERAGE(B5:F5)</f>
        <v>50.6</v>
      </c>
    </row>
    <row r="6" spans="1:8" x14ac:dyDescent="0.2">
      <c r="A6" s="31" t="s">
        <v>3</v>
      </c>
      <c r="B6" s="32">
        <v>12</v>
      </c>
      <c r="C6" s="33">
        <v>12</v>
      </c>
      <c r="D6" s="32">
        <v>3</v>
      </c>
      <c r="E6" s="32">
        <v>5</v>
      </c>
      <c r="F6" s="32">
        <v>13</v>
      </c>
      <c r="G6" s="34">
        <f>AVERAGE(B6:F6)</f>
        <v>9</v>
      </c>
    </row>
    <row r="7" spans="1:8" x14ac:dyDescent="0.2">
      <c r="A7" s="13" t="s">
        <v>4</v>
      </c>
      <c r="B7" s="14">
        <f>SUM(B5:B6)</f>
        <v>54</v>
      </c>
      <c r="C7" s="14">
        <f>SUM(C5:C6)</f>
        <v>60</v>
      </c>
      <c r="D7" s="14">
        <f>SUM(D5:D6)</f>
        <v>57</v>
      </c>
      <c r="E7" s="15">
        <f>SUM(E5:E6)</f>
        <v>58</v>
      </c>
      <c r="F7" s="15">
        <f>SUM(F5:F6)</f>
        <v>69</v>
      </c>
      <c r="G7" s="17">
        <f>AVERAGE(B7:F7)</f>
        <v>59.6</v>
      </c>
    </row>
    <row r="8" spans="1:8" ht="13.5" thickBot="1" x14ac:dyDescent="0.25">
      <c r="A8" s="35" t="s">
        <v>48</v>
      </c>
      <c r="B8" s="36">
        <f>B5+(B6/3)</f>
        <v>46</v>
      </c>
      <c r="C8" s="36">
        <f>C5+(C6/3)</f>
        <v>52</v>
      </c>
      <c r="D8" s="36">
        <f>D5+(D6/3)</f>
        <v>55</v>
      </c>
      <c r="E8" s="37">
        <f>E5+(E6/3)</f>
        <v>54.666666666666664</v>
      </c>
      <c r="F8" s="37">
        <f>F5+(F6/3)</f>
        <v>60.333333333333336</v>
      </c>
      <c r="G8" s="38">
        <f>AVERAGE(B8:F8)</f>
        <v>53.6</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29"/>
      <c r="C14" s="129"/>
      <c r="D14" s="129"/>
      <c r="E14" s="130"/>
      <c r="F14" s="129"/>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5</v>
      </c>
      <c r="C18" s="32">
        <v>13</v>
      </c>
      <c r="D18" s="32">
        <v>9</v>
      </c>
      <c r="E18" s="32">
        <v>14</v>
      </c>
      <c r="F18" s="32">
        <v>11</v>
      </c>
      <c r="G18" s="45">
        <f>AVERAGE(B18:F18)</f>
        <v>10.4</v>
      </c>
    </row>
    <row r="19" spans="1:8" x14ac:dyDescent="0.2">
      <c r="A19" s="46" t="s">
        <v>63</v>
      </c>
      <c r="B19" s="117"/>
      <c r="C19" s="117"/>
      <c r="D19" s="117"/>
      <c r="E19" s="117"/>
      <c r="F19" s="117"/>
      <c r="G19" s="118"/>
    </row>
    <row r="20" spans="1:8" ht="13.5" thickBot="1" x14ac:dyDescent="0.25">
      <c r="A20" s="49" t="s">
        <v>4</v>
      </c>
      <c r="B20" s="79">
        <f>B19+B18</f>
        <v>5</v>
      </c>
      <c r="C20" s="79">
        <f t="shared" ref="C20:F20" si="0">C19+C18</f>
        <v>13</v>
      </c>
      <c r="D20" s="79">
        <f t="shared" si="0"/>
        <v>9</v>
      </c>
      <c r="E20" s="79">
        <f t="shared" si="0"/>
        <v>14</v>
      </c>
      <c r="F20" s="79">
        <f t="shared" si="0"/>
        <v>11</v>
      </c>
      <c r="G20" s="51">
        <f>AVERAGE(B20:F20)</f>
        <v>10.4</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10.8</v>
      </c>
      <c r="C24" s="54">
        <f>C7/C18</f>
        <v>4.615384615384615</v>
      </c>
      <c r="D24" s="54">
        <f>D7/D18</f>
        <v>6.333333333333333</v>
      </c>
      <c r="E24" s="54">
        <f>E7/E18</f>
        <v>4.1428571428571432</v>
      </c>
      <c r="F24" s="54">
        <f>F7/F18</f>
        <v>6.2727272727272725</v>
      </c>
      <c r="G24" s="45">
        <f>AVERAGE(B24:F24)</f>
        <v>6.4328604728604732</v>
      </c>
    </row>
    <row r="25" spans="1:8" ht="13.5" thickBot="1" x14ac:dyDescent="0.25">
      <c r="A25" s="55" t="s">
        <v>64</v>
      </c>
      <c r="B25" s="133"/>
      <c r="C25" s="133"/>
      <c r="D25" s="133"/>
      <c r="E25" s="133"/>
      <c r="F25" s="133"/>
      <c r="G25" s="120"/>
    </row>
    <row r="26" spans="1:8" ht="9.9499999999999993" customHeight="1" thickBot="1" x14ac:dyDescent="0.25">
      <c r="A26" s="58"/>
      <c r="B26" s="58"/>
      <c r="C26" s="58"/>
      <c r="D26" s="58"/>
      <c r="E26" s="58"/>
      <c r="F26" s="58"/>
      <c r="G26" s="58"/>
      <c r="H26" s="58"/>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4211</v>
      </c>
      <c r="C29" s="61">
        <v>3500</v>
      </c>
      <c r="D29" s="61">
        <v>3057</v>
      </c>
      <c r="E29" s="61">
        <v>3099</v>
      </c>
      <c r="F29" s="61">
        <v>2955</v>
      </c>
      <c r="G29" s="62">
        <f>AVERAGE(B29:F29)</f>
        <v>3364.4</v>
      </c>
    </row>
    <row r="30" spans="1:8" x14ac:dyDescent="0.2">
      <c r="A30" s="60" t="s">
        <v>8</v>
      </c>
      <c r="B30" s="61">
        <v>0</v>
      </c>
      <c r="C30" s="61">
        <v>0</v>
      </c>
      <c r="D30" s="61">
        <v>0</v>
      </c>
      <c r="E30" s="61">
        <v>0</v>
      </c>
      <c r="F30" s="61">
        <v>3</v>
      </c>
      <c r="G30" s="62">
        <f>AVERAGE(B30:F30)</f>
        <v>0.6</v>
      </c>
    </row>
    <row r="31" spans="1:8" ht="13.5" thickBot="1" x14ac:dyDescent="0.25">
      <c r="A31" s="22" t="s">
        <v>4</v>
      </c>
      <c r="B31" s="23">
        <f>SUM(B29:B30)</f>
        <v>4211</v>
      </c>
      <c r="C31" s="23">
        <f>SUM(C29:C30)</f>
        <v>3500</v>
      </c>
      <c r="D31" s="23">
        <f>SUM(D29:D30)</f>
        <v>3057</v>
      </c>
      <c r="E31" s="23">
        <f>SUM(E29:E30)</f>
        <v>3099</v>
      </c>
      <c r="F31" s="23">
        <f>SUM(F29:F30)</f>
        <v>2958</v>
      </c>
      <c r="G31" s="24">
        <f>AVERAGE(B31:F31)</f>
        <v>3365</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19.5</v>
      </c>
      <c r="C35" s="32">
        <v>16</v>
      </c>
      <c r="D35" s="63">
        <v>15.1</v>
      </c>
      <c r="E35" s="63">
        <v>13.3</v>
      </c>
      <c r="F35" s="63">
        <v>14.5</v>
      </c>
      <c r="G35" s="45">
        <f>AVERAGE(B35:F35)</f>
        <v>15.680000000000001</v>
      </c>
    </row>
    <row r="36" spans="1:8" ht="13.5" thickBot="1" x14ac:dyDescent="0.25">
      <c r="A36" s="64" t="s">
        <v>8</v>
      </c>
      <c r="B36" s="119"/>
      <c r="C36" s="119"/>
      <c r="D36" s="119"/>
      <c r="E36" s="119"/>
      <c r="F36" s="119"/>
      <c r="G36" s="120"/>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5</v>
      </c>
      <c r="C40" s="32">
        <v>5</v>
      </c>
      <c r="D40" s="32">
        <v>4</v>
      </c>
      <c r="E40" s="32">
        <v>5</v>
      </c>
      <c r="F40" s="32">
        <v>5</v>
      </c>
      <c r="G40" s="45">
        <f>AVERAGE(B40:F40)</f>
        <v>4.8</v>
      </c>
    </row>
    <row r="41" spans="1:8" x14ac:dyDescent="0.2">
      <c r="A41" s="60" t="s">
        <v>3</v>
      </c>
      <c r="B41" s="32">
        <v>0</v>
      </c>
      <c r="C41" s="32">
        <v>0</v>
      </c>
      <c r="D41" s="32">
        <v>3</v>
      </c>
      <c r="E41" s="32">
        <v>4</v>
      </c>
      <c r="F41" s="32">
        <v>2</v>
      </c>
      <c r="G41" s="45">
        <f>AVERAGE(B41:F41)</f>
        <v>1.8</v>
      </c>
    </row>
    <row r="42" spans="1:8" x14ac:dyDescent="0.2">
      <c r="A42" s="13" t="s">
        <v>4</v>
      </c>
      <c r="B42" s="14">
        <f>SUM(B40:B41)</f>
        <v>5</v>
      </c>
      <c r="C42" s="14">
        <f>SUM(C40:C41)</f>
        <v>5</v>
      </c>
      <c r="D42" s="14">
        <f>SUM(D40:D41)</f>
        <v>7</v>
      </c>
      <c r="E42" s="14">
        <f>SUM(E40:E41)</f>
        <v>9</v>
      </c>
      <c r="F42" s="14">
        <f>SUM(F40:F41)</f>
        <v>7</v>
      </c>
      <c r="G42" s="17">
        <f>AVERAGE(B42:F42)</f>
        <v>6.6</v>
      </c>
    </row>
    <row r="43" spans="1:8" ht="13.5" thickBot="1" x14ac:dyDescent="0.25">
      <c r="A43" s="39" t="s">
        <v>49</v>
      </c>
      <c r="B43" s="40">
        <f>B40+(B41/3)</f>
        <v>5</v>
      </c>
      <c r="C43" s="40">
        <f>C40+(C41/3)</f>
        <v>5</v>
      </c>
      <c r="D43" s="40">
        <f>D40+(D41/3)</f>
        <v>5</v>
      </c>
      <c r="E43" s="40">
        <f>E40+(E41/3)</f>
        <v>6.333333333333333</v>
      </c>
      <c r="F43" s="40">
        <f>F40+(F41/3)</f>
        <v>5.666666666666667</v>
      </c>
      <c r="G43" s="67">
        <f>AVERAGE(B43:F43)</f>
        <v>5.4</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9.1999999999999993</v>
      </c>
      <c r="C47" s="56">
        <f>(C8+C14)/C43</f>
        <v>10.4</v>
      </c>
      <c r="D47" s="56">
        <f>(D8+D14)/D43</f>
        <v>11</v>
      </c>
      <c r="E47" s="56">
        <f>(E8+E14)/E43</f>
        <v>8.6315789473684212</v>
      </c>
      <c r="F47" s="56">
        <f>(F8+F14)/F43</f>
        <v>10.647058823529411</v>
      </c>
      <c r="G47" s="57">
        <f>AVERAGE(B47:F47)</f>
        <v>9.9757275541795671</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842.2</v>
      </c>
      <c r="C51" s="56">
        <f>C31/C43</f>
        <v>700</v>
      </c>
      <c r="D51" s="56">
        <f>D31/D43</f>
        <v>611.4</v>
      </c>
      <c r="E51" s="56">
        <f>E31/E43</f>
        <v>489.31578947368422</v>
      </c>
      <c r="F51" s="56">
        <f>F31/F43</f>
        <v>522</v>
      </c>
      <c r="G51" s="57">
        <f>AVERAGE(B51:F51)</f>
        <v>632.98315789473679</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446578</v>
      </c>
      <c r="C55" s="73">
        <f>535744.61+5191.68</f>
        <v>540936.29</v>
      </c>
      <c r="D55" s="73">
        <f>465104.78+6261.77</f>
        <v>471366.55000000005</v>
      </c>
      <c r="E55" s="73">
        <v>546642</v>
      </c>
      <c r="F55" s="73">
        <v>552487</v>
      </c>
      <c r="G55" s="74">
        <f>AVERAGE(B55:F55)</f>
        <v>511601.96799999999</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106.05034433626217</v>
      </c>
      <c r="C59" s="76">
        <f>C55/C31</f>
        <v>154.55322571428573</v>
      </c>
      <c r="D59" s="76">
        <f>D55/D31</f>
        <v>154.19252535165197</v>
      </c>
      <c r="E59" s="76">
        <f>E55/E31</f>
        <v>176.39303000968053</v>
      </c>
      <c r="F59" s="76">
        <f>F55/F31</f>
        <v>186.77721433400947</v>
      </c>
      <c r="G59" s="74">
        <f>AVERAGE(B59:F59)</f>
        <v>155.59326794917797</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89315.6</v>
      </c>
      <c r="C63" s="75">
        <f t="shared" ref="C63:F63" si="1">C55/C43</f>
        <v>108187.258</v>
      </c>
      <c r="D63" s="75">
        <f t="shared" si="1"/>
        <v>94273.310000000012</v>
      </c>
      <c r="E63" s="75">
        <f t="shared" si="1"/>
        <v>86311.894736842107</v>
      </c>
      <c r="F63" s="75">
        <f t="shared" si="1"/>
        <v>97497.705882352937</v>
      </c>
      <c r="G63" s="74">
        <f>AVERAGE(B63:F63)</f>
        <v>95117.153723839001</v>
      </c>
    </row>
  </sheetData>
  <mergeCells count="1">
    <mergeCell ref="B1:D1"/>
  </mergeCells>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37</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155</v>
      </c>
      <c r="C5" s="33">
        <v>121</v>
      </c>
      <c r="D5" s="32">
        <v>129</v>
      </c>
      <c r="E5" s="32">
        <v>106</v>
      </c>
      <c r="F5" s="32">
        <v>91</v>
      </c>
      <c r="G5" s="34">
        <f>AVERAGE(B5:F5)</f>
        <v>120.4</v>
      </c>
    </row>
    <row r="6" spans="1:8" x14ac:dyDescent="0.2">
      <c r="A6" s="31" t="s">
        <v>3</v>
      </c>
      <c r="B6" s="32">
        <v>14</v>
      </c>
      <c r="C6" s="33">
        <v>37</v>
      </c>
      <c r="D6" s="32">
        <v>24</v>
      </c>
      <c r="E6" s="32">
        <v>26</v>
      </c>
      <c r="F6" s="32">
        <v>24</v>
      </c>
      <c r="G6" s="34">
        <f>AVERAGE(B6:F6)</f>
        <v>25</v>
      </c>
    </row>
    <row r="7" spans="1:8" x14ac:dyDescent="0.2">
      <c r="A7" s="13" t="s">
        <v>4</v>
      </c>
      <c r="B7" s="14">
        <f>SUM(B5:B6)</f>
        <v>169</v>
      </c>
      <c r="C7" s="14">
        <f>SUM(C5:C6)</f>
        <v>158</v>
      </c>
      <c r="D7" s="14">
        <f>SUM(D5:D6)</f>
        <v>153</v>
      </c>
      <c r="E7" s="15">
        <f>SUM(E5:E6)</f>
        <v>132</v>
      </c>
      <c r="F7" s="15">
        <f>SUM(F5:F6)</f>
        <v>115</v>
      </c>
      <c r="G7" s="17">
        <f>AVERAGE(B7:F7)</f>
        <v>145.4</v>
      </c>
    </row>
    <row r="8" spans="1:8" ht="13.5" thickBot="1" x14ac:dyDescent="0.25">
      <c r="A8" s="35" t="s">
        <v>48</v>
      </c>
      <c r="B8" s="36">
        <f>B5+(B6/3)</f>
        <v>159.66666666666666</v>
      </c>
      <c r="C8" s="36">
        <f>C5+(C6/3)</f>
        <v>133.33333333333334</v>
      </c>
      <c r="D8" s="36">
        <f>D5+(D6/3)</f>
        <v>137</v>
      </c>
      <c r="E8" s="37">
        <f>E5+(E6/3)</f>
        <v>114.66666666666667</v>
      </c>
      <c r="F8" s="37">
        <f>F5+(F6/3)</f>
        <v>99</v>
      </c>
      <c r="G8" s="38">
        <f>AVERAGE(B8:F8)</f>
        <v>128.73333333333332</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32">
        <v>6</v>
      </c>
      <c r="C11" s="33">
        <v>10</v>
      </c>
      <c r="D11" s="32">
        <v>8</v>
      </c>
      <c r="E11" s="32">
        <v>13</v>
      </c>
      <c r="F11" s="32">
        <v>8</v>
      </c>
      <c r="G11" s="34">
        <f>AVERAGE(B11:F11)</f>
        <v>9</v>
      </c>
    </row>
    <row r="12" spans="1:8" x14ac:dyDescent="0.2">
      <c r="A12" s="31" t="s">
        <v>3</v>
      </c>
      <c r="B12" s="32">
        <v>6</v>
      </c>
      <c r="C12" s="33">
        <v>6</v>
      </c>
      <c r="D12" s="32">
        <v>10</v>
      </c>
      <c r="E12" s="32">
        <v>5</v>
      </c>
      <c r="F12" s="32">
        <v>5</v>
      </c>
      <c r="G12" s="34">
        <f>AVERAGE(B12:F12)</f>
        <v>6.4</v>
      </c>
    </row>
    <row r="13" spans="1:8" x14ac:dyDescent="0.2">
      <c r="A13" s="13" t="s">
        <v>4</v>
      </c>
      <c r="B13" s="14">
        <f t="shared" ref="B13:C13" si="0">SUM(B11:B12)</f>
        <v>12</v>
      </c>
      <c r="C13" s="14">
        <f t="shared" si="0"/>
        <v>16</v>
      </c>
      <c r="D13" s="14">
        <f>SUM(D11:D12)</f>
        <v>18</v>
      </c>
      <c r="E13" s="15">
        <f>SUM(E11:E12)</f>
        <v>18</v>
      </c>
      <c r="F13" s="14">
        <f>SUM(F11:F12)</f>
        <v>13</v>
      </c>
      <c r="G13" s="16">
        <f>AVERAGE(B13:F13)</f>
        <v>15.4</v>
      </c>
    </row>
    <row r="14" spans="1:8" ht="13.5" thickBot="1" x14ac:dyDescent="0.25">
      <c r="A14" s="39" t="s">
        <v>48</v>
      </c>
      <c r="B14" s="40">
        <f t="shared" ref="B14:C14" si="1">B11+(B12/3)</f>
        <v>8</v>
      </c>
      <c r="C14" s="40">
        <f t="shared" si="1"/>
        <v>12</v>
      </c>
      <c r="D14" s="40">
        <f>D11+(D12/3)</f>
        <v>11.333333333333334</v>
      </c>
      <c r="E14" s="41">
        <f>E11+(E12/3)</f>
        <v>14.666666666666666</v>
      </c>
      <c r="F14" s="40">
        <f>F11+(F12/3)</f>
        <v>9.6666666666666661</v>
      </c>
      <c r="G14" s="42">
        <f>AVERAGE(B14:F14)</f>
        <v>11.133333333333333</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39</v>
      </c>
      <c r="C18" s="32">
        <v>43</v>
      </c>
      <c r="D18" s="32">
        <v>41</v>
      </c>
      <c r="E18" s="32">
        <v>38</v>
      </c>
      <c r="F18" s="32">
        <v>32</v>
      </c>
      <c r="G18" s="45">
        <f>AVERAGE(B18:F18)</f>
        <v>38.6</v>
      </c>
    </row>
    <row r="19" spans="1:8" x14ac:dyDescent="0.2">
      <c r="A19" s="46" t="s">
        <v>63</v>
      </c>
      <c r="B19" s="117"/>
      <c r="C19" s="47">
        <v>1</v>
      </c>
      <c r="D19" s="47">
        <v>4</v>
      </c>
      <c r="E19" s="47">
        <v>4</v>
      </c>
      <c r="F19" s="47">
        <v>5</v>
      </c>
      <c r="G19" s="48">
        <f>AVERAGE(B19:F19)</f>
        <v>3.5</v>
      </c>
    </row>
    <row r="20" spans="1:8" ht="13.5" thickBot="1" x14ac:dyDescent="0.25">
      <c r="A20" s="49" t="s">
        <v>4</v>
      </c>
      <c r="B20" s="79">
        <f>B19+B18</f>
        <v>39</v>
      </c>
      <c r="C20" s="79">
        <f t="shared" ref="C20:F20" si="2">C19+C18</f>
        <v>44</v>
      </c>
      <c r="D20" s="79">
        <f t="shared" si="2"/>
        <v>45</v>
      </c>
      <c r="E20" s="79">
        <f t="shared" si="2"/>
        <v>42</v>
      </c>
      <c r="F20" s="79">
        <f t="shared" si="2"/>
        <v>37</v>
      </c>
      <c r="G20" s="51">
        <f>AVERAGE(B20:F20)</f>
        <v>41.4</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4.333333333333333</v>
      </c>
      <c r="C24" s="54">
        <f>C7/C18</f>
        <v>3.6744186046511627</v>
      </c>
      <c r="D24" s="54">
        <f>D7/D18</f>
        <v>3.7317073170731709</v>
      </c>
      <c r="E24" s="54">
        <f>E7/E18</f>
        <v>3.4736842105263159</v>
      </c>
      <c r="F24" s="54">
        <f>F7/F18</f>
        <v>3.59375</v>
      </c>
      <c r="G24" s="45">
        <f>AVERAGE(B24:F24)</f>
        <v>3.7613786931167965</v>
      </c>
    </row>
    <row r="25" spans="1:8" ht="13.5" thickBot="1" x14ac:dyDescent="0.25">
      <c r="A25" s="55" t="s">
        <v>64</v>
      </c>
      <c r="B25" s="133"/>
      <c r="C25" s="56">
        <f t="shared" ref="C25:D25" si="3">C13/C19</f>
        <v>16</v>
      </c>
      <c r="D25" s="56">
        <f t="shared" si="3"/>
        <v>4.5</v>
      </c>
      <c r="E25" s="56">
        <f>E13/E19</f>
        <v>4.5</v>
      </c>
      <c r="F25" s="56">
        <f>F13/F19</f>
        <v>2.6</v>
      </c>
      <c r="G25" s="57">
        <f>AVERAGE(B25:F25)</f>
        <v>6.9</v>
      </c>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6234</v>
      </c>
      <c r="C29" s="61">
        <v>5834</v>
      </c>
      <c r="D29" s="61">
        <v>5675</v>
      </c>
      <c r="E29" s="61">
        <v>5292</v>
      </c>
      <c r="F29" s="61">
        <v>4806</v>
      </c>
      <c r="G29" s="62">
        <f>AVERAGE(B29:F29)</f>
        <v>5568.2</v>
      </c>
    </row>
    <row r="30" spans="1:8" x14ac:dyDescent="0.2">
      <c r="A30" s="60" t="s">
        <v>8</v>
      </c>
      <c r="B30" s="61">
        <v>135</v>
      </c>
      <c r="C30" s="61">
        <v>345</v>
      </c>
      <c r="D30" s="61">
        <v>345</v>
      </c>
      <c r="E30" s="61">
        <v>281</v>
      </c>
      <c r="F30" s="61">
        <v>192</v>
      </c>
      <c r="G30" s="62">
        <f>AVERAGE(B30:F30)</f>
        <v>259.60000000000002</v>
      </c>
    </row>
    <row r="31" spans="1:8" ht="13.5" thickBot="1" x14ac:dyDescent="0.25">
      <c r="A31" s="22" t="s">
        <v>4</v>
      </c>
      <c r="B31" s="23">
        <f>SUM(B29:B30)</f>
        <v>6369</v>
      </c>
      <c r="C31" s="23">
        <f>SUM(C29:C30)</f>
        <v>6179</v>
      </c>
      <c r="D31" s="23">
        <f>SUM(D29:D30)</f>
        <v>6020</v>
      </c>
      <c r="E31" s="23">
        <f>SUM(E29:E30)</f>
        <v>5573</v>
      </c>
      <c r="F31" s="23">
        <f>SUM(F29:F30)</f>
        <v>4998</v>
      </c>
      <c r="G31" s="24">
        <f>AVERAGE(B31:F31)</f>
        <v>5827.8</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35.4</v>
      </c>
      <c r="C35" s="32">
        <v>29.3</v>
      </c>
      <c r="D35" s="63">
        <v>24.1</v>
      </c>
      <c r="E35" s="63">
        <v>23.6</v>
      </c>
      <c r="F35" s="63">
        <v>20.100000000000001</v>
      </c>
      <c r="G35" s="45">
        <f>AVERAGE(B35:F35)</f>
        <v>26.5</v>
      </c>
    </row>
    <row r="36" spans="1:8" ht="13.5" thickBot="1" x14ac:dyDescent="0.25">
      <c r="A36" s="64" t="s">
        <v>8</v>
      </c>
      <c r="B36" s="65">
        <v>8.6999999999999993</v>
      </c>
      <c r="C36" s="65">
        <v>8.8000000000000007</v>
      </c>
      <c r="D36" s="65">
        <v>8.8000000000000007</v>
      </c>
      <c r="E36" s="65">
        <v>9</v>
      </c>
      <c r="F36" s="119"/>
      <c r="G36" s="57">
        <f>AVERAGE(B36:F36)</f>
        <v>8.8249999999999993</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7</v>
      </c>
      <c r="C40" s="32">
        <v>6</v>
      </c>
      <c r="D40" s="32">
        <v>8</v>
      </c>
      <c r="E40" s="32">
        <v>7</v>
      </c>
      <c r="F40" s="32">
        <v>8</v>
      </c>
      <c r="G40" s="45">
        <f>AVERAGE(B40:F40)</f>
        <v>7.2</v>
      </c>
    </row>
    <row r="41" spans="1:8" x14ac:dyDescent="0.2">
      <c r="A41" s="60" t="s">
        <v>3</v>
      </c>
      <c r="B41" s="32">
        <v>1</v>
      </c>
      <c r="C41" s="32">
        <v>2</v>
      </c>
      <c r="D41" s="32">
        <v>2</v>
      </c>
      <c r="E41" s="32">
        <v>4</v>
      </c>
      <c r="F41" s="32">
        <v>3</v>
      </c>
      <c r="G41" s="45">
        <f>AVERAGE(B41:F41)</f>
        <v>2.4</v>
      </c>
    </row>
    <row r="42" spans="1:8" x14ac:dyDescent="0.2">
      <c r="A42" s="13" t="s">
        <v>4</v>
      </c>
      <c r="B42" s="14">
        <f>SUM(B40:B41)</f>
        <v>8</v>
      </c>
      <c r="C42" s="14">
        <f>SUM(C40:C41)</f>
        <v>8</v>
      </c>
      <c r="D42" s="14">
        <f>SUM(D40:D41)</f>
        <v>10</v>
      </c>
      <c r="E42" s="14">
        <f>SUM(E40:E41)</f>
        <v>11</v>
      </c>
      <c r="F42" s="14">
        <f>SUM(F40:F41)</f>
        <v>11</v>
      </c>
      <c r="G42" s="17">
        <f>AVERAGE(B42:F42)</f>
        <v>9.6</v>
      </c>
    </row>
    <row r="43" spans="1:8" ht="13.5" thickBot="1" x14ac:dyDescent="0.25">
      <c r="A43" s="39" t="s">
        <v>49</v>
      </c>
      <c r="B43" s="40">
        <f>B40+(B41/3)</f>
        <v>7.333333333333333</v>
      </c>
      <c r="C43" s="40">
        <f>C40+(C41/3)</f>
        <v>6.666666666666667</v>
      </c>
      <c r="D43" s="40">
        <f>D40+(D41/3)</f>
        <v>8.6666666666666661</v>
      </c>
      <c r="E43" s="40">
        <f>E40+(E41/3)</f>
        <v>8.3333333333333339</v>
      </c>
      <c r="F43" s="40">
        <f>F40+(F41/3)</f>
        <v>9</v>
      </c>
      <c r="G43" s="67">
        <f>AVERAGE(B43:F43)</f>
        <v>8</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 +B14)/B43</f>
        <v>22.863636363636363</v>
      </c>
      <c r="C47" s="56">
        <f>(C8 +C14)/C43</f>
        <v>21.8</v>
      </c>
      <c r="D47" s="56">
        <f>(D8 +D14)/D43</f>
        <v>17.115384615384617</v>
      </c>
      <c r="E47" s="56">
        <f>(E8 +E14)/E43</f>
        <v>15.52</v>
      </c>
      <c r="F47" s="56">
        <f>(F8 +F14)/F43</f>
        <v>12.074074074074074</v>
      </c>
      <c r="G47" s="57">
        <f>AVERAGE(B47:F47)</f>
        <v>17.874619010619011</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868.5</v>
      </c>
      <c r="C51" s="56">
        <f>C31/C43</f>
        <v>926.84999999999991</v>
      </c>
      <c r="D51" s="56">
        <f>D31/D43</f>
        <v>694.61538461538464</v>
      </c>
      <c r="E51" s="56">
        <f>E31/E43</f>
        <v>668.76</v>
      </c>
      <c r="F51" s="56">
        <f>F31/F43</f>
        <v>555.33333333333337</v>
      </c>
      <c r="G51" s="57">
        <f>AVERAGE(B51:F51)</f>
        <v>742.81174358974363</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685149</v>
      </c>
      <c r="C55" s="73">
        <f>693341.29+17151.96</f>
        <v>710493.25</v>
      </c>
      <c r="D55" s="73">
        <f>839527.61+9750.48</f>
        <v>849278.09</v>
      </c>
      <c r="E55" s="73">
        <v>894806</v>
      </c>
      <c r="F55" s="73">
        <v>871198</v>
      </c>
      <c r="G55" s="74">
        <f>AVERAGE(B55:F55)</f>
        <v>802184.86800000002</v>
      </c>
    </row>
    <row r="56" spans="1:8" ht="9.9499999999999993" customHeight="1" thickBot="1" x14ac:dyDescent="0.25">
      <c r="B56" s="90"/>
      <c r="C56" s="90"/>
      <c r="D56" s="90"/>
      <c r="E56" s="90"/>
      <c r="F56" s="90"/>
      <c r="G56" s="91"/>
      <c r="H56" s="91"/>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107.57560056523788</v>
      </c>
      <c r="C59" s="76">
        <f>C55/C31</f>
        <v>114.98515131898365</v>
      </c>
      <c r="D59" s="76">
        <f>D55/D31</f>
        <v>141.07609468438537</v>
      </c>
      <c r="E59" s="76">
        <f>E55/E31</f>
        <v>160.56091871523415</v>
      </c>
      <c r="F59" s="76">
        <f>F55/F31</f>
        <v>174.30932372949181</v>
      </c>
      <c r="G59" s="74">
        <f>AVERAGE(B59:F59)</f>
        <v>139.70141780266655</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93429.409090909088</v>
      </c>
      <c r="C63" s="75">
        <f t="shared" ref="C63:F63" si="4">C55/C43</f>
        <v>106573.98749999999</v>
      </c>
      <c r="D63" s="75">
        <f t="shared" si="4"/>
        <v>97993.62576923077</v>
      </c>
      <c r="E63" s="75">
        <f t="shared" si="4"/>
        <v>107376.71999999999</v>
      </c>
      <c r="F63" s="75">
        <f t="shared" si="4"/>
        <v>96799.777777777781</v>
      </c>
      <c r="G63" s="74">
        <f>AVERAGE(B63:F63)</f>
        <v>100434.70402758352</v>
      </c>
    </row>
  </sheetData>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4"/>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s="85" customFormat="1" x14ac:dyDescent="0.2">
      <c r="A1" s="26" t="s">
        <v>13</v>
      </c>
      <c r="B1" s="186" t="s">
        <v>34</v>
      </c>
      <c r="C1" s="186"/>
      <c r="D1" s="187"/>
      <c r="E1" s="105"/>
      <c r="F1" s="105"/>
      <c r="G1" s="105"/>
      <c r="H1" s="105"/>
    </row>
    <row r="2" spans="1:8" ht="7.5" customHeight="1" thickBot="1" x14ac:dyDescent="0.25">
      <c r="A2" s="28" t="s">
        <v>38</v>
      </c>
      <c r="B2" s="28"/>
      <c r="C2" s="28"/>
      <c r="D2" s="28"/>
      <c r="E2" s="28"/>
      <c r="F2" s="28"/>
      <c r="G2" s="28"/>
      <c r="H2" s="28"/>
    </row>
    <row r="3" spans="1:8" ht="15" customHeight="1" x14ac:dyDescent="0.2">
      <c r="A3" s="5" t="s">
        <v>69</v>
      </c>
      <c r="B3" s="6"/>
      <c r="C3" s="6"/>
      <c r="D3" s="6"/>
      <c r="E3" s="6"/>
      <c r="F3" s="6"/>
      <c r="G3" s="7"/>
    </row>
    <row r="4" spans="1:8" s="99" customFormat="1" x14ac:dyDescent="0.2">
      <c r="A4" s="29" t="s">
        <v>0</v>
      </c>
      <c r="B4" s="4" t="s">
        <v>53</v>
      </c>
      <c r="C4" s="4" t="s">
        <v>55</v>
      </c>
      <c r="D4" s="4" t="s">
        <v>59</v>
      </c>
      <c r="E4" s="4" t="s">
        <v>60</v>
      </c>
      <c r="F4" s="4" t="s">
        <v>67</v>
      </c>
      <c r="G4" s="30" t="s">
        <v>1</v>
      </c>
      <c r="H4" s="3"/>
    </row>
    <row r="5" spans="1:8" x14ac:dyDescent="0.2">
      <c r="A5" s="31" t="s">
        <v>2</v>
      </c>
      <c r="B5" s="32">
        <v>177</v>
      </c>
      <c r="C5" s="33">
        <v>158</v>
      </c>
      <c r="D5" s="32">
        <v>168</v>
      </c>
      <c r="E5" s="32">
        <v>182</v>
      </c>
      <c r="F5" s="32">
        <v>172</v>
      </c>
      <c r="G5" s="34">
        <f>AVERAGE(B5:F5)</f>
        <v>171.4</v>
      </c>
    </row>
    <row r="6" spans="1:8" x14ac:dyDescent="0.2">
      <c r="A6" s="31" t="s">
        <v>3</v>
      </c>
      <c r="B6" s="32">
        <v>45</v>
      </c>
      <c r="C6" s="33">
        <v>48</v>
      </c>
      <c r="D6" s="32">
        <v>37</v>
      </c>
      <c r="E6" s="32">
        <v>29</v>
      </c>
      <c r="F6" s="32">
        <v>44</v>
      </c>
      <c r="G6" s="34">
        <f>AVERAGE(B6:F6)</f>
        <v>40.6</v>
      </c>
    </row>
    <row r="7" spans="1:8" x14ac:dyDescent="0.2">
      <c r="A7" s="13" t="s">
        <v>4</v>
      </c>
      <c r="B7" s="14">
        <f>SUM(B5:B6)</f>
        <v>222</v>
      </c>
      <c r="C7" s="14">
        <f>SUM(C5:C6)</f>
        <v>206</v>
      </c>
      <c r="D7" s="14">
        <f>SUM(D5:D6)</f>
        <v>205</v>
      </c>
      <c r="E7" s="15">
        <f>SUM(E5:E6)</f>
        <v>211</v>
      </c>
      <c r="F7" s="15">
        <f>SUM(F5:F6)</f>
        <v>216</v>
      </c>
      <c r="G7" s="17">
        <f>AVERAGE(B7:F7)</f>
        <v>212</v>
      </c>
    </row>
    <row r="8" spans="1:8" ht="13.5" thickBot="1" x14ac:dyDescent="0.25">
      <c r="A8" s="35" t="s">
        <v>48</v>
      </c>
      <c r="B8" s="36">
        <f>B5+(B6/3)</f>
        <v>192</v>
      </c>
      <c r="C8" s="36">
        <f>C5+(C6/3)</f>
        <v>174</v>
      </c>
      <c r="D8" s="36">
        <f>D5+(D6/3)</f>
        <v>180.33333333333334</v>
      </c>
      <c r="E8" s="37">
        <f>E5+(E6/3)</f>
        <v>191.66666666666666</v>
      </c>
      <c r="F8" s="37">
        <f>F5+(F6/3)</f>
        <v>186.66666666666666</v>
      </c>
      <c r="G8" s="38">
        <f>AVERAGE(B8:F8)</f>
        <v>184.93333333333334</v>
      </c>
    </row>
    <row r="9" spans="1:8" ht="7.5" customHeight="1" thickBot="1" x14ac:dyDescent="0.25">
      <c r="A9" s="9"/>
      <c r="B9" s="10"/>
      <c r="C9" s="10"/>
      <c r="D9" s="10"/>
      <c r="E9" s="11"/>
      <c r="F9" s="11"/>
      <c r="G9" s="12"/>
    </row>
    <row r="10" spans="1:8" s="99" customFormat="1" x14ac:dyDescent="0.2">
      <c r="A10" s="29" t="s">
        <v>5</v>
      </c>
      <c r="B10" s="4"/>
      <c r="C10" s="4"/>
      <c r="D10" s="4"/>
      <c r="E10" s="4"/>
      <c r="F10" s="4"/>
      <c r="G10" s="30"/>
      <c r="H10" s="3"/>
    </row>
    <row r="11" spans="1:8" x14ac:dyDescent="0.2">
      <c r="A11" s="31" t="s">
        <v>2</v>
      </c>
      <c r="B11" s="32">
        <v>9</v>
      </c>
      <c r="C11" s="33">
        <v>12</v>
      </c>
      <c r="D11" s="32">
        <v>5</v>
      </c>
      <c r="E11" s="32">
        <v>11</v>
      </c>
      <c r="F11" s="32">
        <v>14</v>
      </c>
      <c r="G11" s="34">
        <f>AVERAGE(B11:F11)</f>
        <v>10.199999999999999</v>
      </c>
    </row>
    <row r="12" spans="1:8" x14ac:dyDescent="0.2">
      <c r="A12" s="31" t="s">
        <v>3</v>
      </c>
      <c r="B12" s="32">
        <v>33</v>
      </c>
      <c r="C12" s="33">
        <v>28</v>
      </c>
      <c r="D12" s="32">
        <v>39</v>
      </c>
      <c r="E12" s="32">
        <v>34</v>
      </c>
      <c r="F12" s="32">
        <v>33</v>
      </c>
      <c r="G12" s="34">
        <f>AVERAGE(B12:F12)</f>
        <v>33.4</v>
      </c>
    </row>
    <row r="13" spans="1:8" x14ac:dyDescent="0.2">
      <c r="A13" s="13" t="s">
        <v>4</v>
      </c>
      <c r="B13" s="14">
        <f>SUM(B11:B12)</f>
        <v>42</v>
      </c>
      <c r="C13" s="14">
        <f>SUM(C11:C12)</f>
        <v>40</v>
      </c>
      <c r="D13" s="14">
        <f>SUM(D11:D12)</f>
        <v>44</v>
      </c>
      <c r="E13" s="15">
        <f>SUM(E11:E12)</f>
        <v>45</v>
      </c>
      <c r="F13" s="14">
        <f>SUM(F11:F12)</f>
        <v>47</v>
      </c>
      <c r="G13" s="16">
        <f>AVERAGE(B13:F13)</f>
        <v>43.6</v>
      </c>
    </row>
    <row r="14" spans="1:8" ht="13.5" thickBot="1" x14ac:dyDescent="0.25">
      <c r="A14" s="39" t="s">
        <v>48</v>
      </c>
      <c r="B14" s="40">
        <f>B11+(B12/3)</f>
        <v>20</v>
      </c>
      <c r="C14" s="40">
        <f>C11+(C12/3)</f>
        <v>21.333333333333336</v>
      </c>
      <c r="D14" s="40">
        <f>D11+(D12/3)</f>
        <v>18</v>
      </c>
      <c r="E14" s="41">
        <f>E11+(E12/3)</f>
        <v>22.333333333333336</v>
      </c>
      <c r="F14" s="40">
        <f>F11+(F12/3)</f>
        <v>25</v>
      </c>
      <c r="G14" s="42">
        <f>AVERAGE(B14:F14)</f>
        <v>21.333333333333336</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106" t="s">
        <v>62</v>
      </c>
      <c r="B18" s="32">
        <v>40</v>
      </c>
      <c r="C18" s="32">
        <v>45</v>
      </c>
      <c r="D18" s="32">
        <v>26</v>
      </c>
      <c r="E18" s="32">
        <v>40</v>
      </c>
      <c r="F18" s="32">
        <v>51</v>
      </c>
      <c r="G18" s="45">
        <f>AVERAGE(B18:F18)</f>
        <v>40.4</v>
      </c>
    </row>
    <row r="19" spans="1:8" x14ac:dyDescent="0.2">
      <c r="A19" s="107" t="s">
        <v>63</v>
      </c>
      <c r="B19" s="47">
        <v>11</v>
      </c>
      <c r="C19" s="47">
        <v>7</v>
      </c>
      <c r="D19" s="47">
        <v>9</v>
      </c>
      <c r="E19" s="47">
        <v>11</v>
      </c>
      <c r="F19" s="47">
        <v>16</v>
      </c>
      <c r="G19" s="48">
        <f>AVERAGE(B19:F19)</f>
        <v>10.8</v>
      </c>
    </row>
    <row r="20" spans="1:8" ht="13.5" thickBot="1" x14ac:dyDescent="0.25">
      <c r="A20" s="49" t="s">
        <v>4</v>
      </c>
      <c r="B20" s="79">
        <f>B19+B18</f>
        <v>51</v>
      </c>
      <c r="C20" s="79">
        <f t="shared" ref="C20:F20" si="0">C19+C18</f>
        <v>52</v>
      </c>
      <c r="D20" s="79">
        <f t="shared" si="0"/>
        <v>35</v>
      </c>
      <c r="E20" s="79">
        <f t="shared" si="0"/>
        <v>51</v>
      </c>
      <c r="F20" s="79">
        <f t="shared" si="0"/>
        <v>67</v>
      </c>
      <c r="G20" s="51">
        <f>AVERAGE(B20:F20)</f>
        <v>51.2</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108" t="s">
        <v>65</v>
      </c>
      <c r="B24" s="54">
        <f>B7/B18</f>
        <v>5.55</v>
      </c>
      <c r="C24" s="54">
        <f>C7/C18</f>
        <v>4.5777777777777775</v>
      </c>
      <c r="D24" s="54">
        <f>D7/D18</f>
        <v>7.884615384615385</v>
      </c>
      <c r="E24" s="54">
        <f>E7/E18</f>
        <v>5.2750000000000004</v>
      </c>
      <c r="F24" s="54">
        <f>F7/F18</f>
        <v>4.2352941176470589</v>
      </c>
      <c r="G24" s="45">
        <f>AVERAGE(B24:F24)</f>
        <v>5.5045374560080429</v>
      </c>
    </row>
    <row r="25" spans="1:8" ht="13.5" thickBot="1" x14ac:dyDescent="0.25">
      <c r="A25" s="109" t="s">
        <v>64</v>
      </c>
      <c r="B25" s="56">
        <f>B13/B19</f>
        <v>3.8181818181818183</v>
      </c>
      <c r="C25" s="56">
        <f>C13/C19</f>
        <v>5.7142857142857144</v>
      </c>
      <c r="D25" s="56">
        <f>D13/D19</f>
        <v>4.8888888888888893</v>
      </c>
      <c r="E25" s="56">
        <f>E13/E19</f>
        <v>4.0909090909090908</v>
      </c>
      <c r="F25" s="56">
        <f>F13/F19</f>
        <v>2.9375</v>
      </c>
      <c r="G25" s="57">
        <f>AVERAGE(B25:F25)</f>
        <v>4.2899531024531026</v>
      </c>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110" t="s">
        <v>66</v>
      </c>
      <c r="B29" s="61">
        <v>4392</v>
      </c>
      <c r="C29" s="61">
        <v>4353</v>
      </c>
      <c r="D29" s="61">
        <v>4275</v>
      </c>
      <c r="E29" s="61">
        <v>5169</v>
      </c>
      <c r="F29" s="61">
        <v>5628</v>
      </c>
      <c r="G29" s="62">
        <f>AVERAGE(B29:F29)</f>
        <v>4763.3999999999996</v>
      </c>
    </row>
    <row r="30" spans="1:8" x14ac:dyDescent="0.2">
      <c r="A30" s="60" t="s">
        <v>8</v>
      </c>
      <c r="B30" s="61">
        <v>1023</v>
      </c>
      <c r="C30" s="61">
        <v>1044</v>
      </c>
      <c r="D30" s="61">
        <v>615</v>
      </c>
      <c r="E30" s="61">
        <v>852</v>
      </c>
      <c r="F30" s="61">
        <v>651</v>
      </c>
      <c r="G30" s="62">
        <f>AVERAGE(B30:F30)</f>
        <v>837</v>
      </c>
    </row>
    <row r="31" spans="1:8" ht="13.5" thickBot="1" x14ac:dyDescent="0.25">
      <c r="A31" s="22" t="s">
        <v>4</v>
      </c>
      <c r="B31" s="23">
        <f>SUM(B29:B30)</f>
        <v>5415</v>
      </c>
      <c r="C31" s="23">
        <f>SUM(C29:C30)</f>
        <v>5397</v>
      </c>
      <c r="D31" s="23">
        <f>SUM(D29:D30)</f>
        <v>4890</v>
      </c>
      <c r="E31" s="23">
        <f>SUM(E29:E30)</f>
        <v>6021</v>
      </c>
      <c r="F31" s="23">
        <f>SUM(F29:F30)</f>
        <v>6279</v>
      </c>
      <c r="G31" s="24">
        <f>AVERAGE(B31:F31)</f>
        <v>5600.4</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27.7</v>
      </c>
      <c r="C35" s="32">
        <v>25.5</v>
      </c>
      <c r="D35" s="63">
        <v>26.4</v>
      </c>
      <c r="E35" s="63">
        <v>24.8</v>
      </c>
      <c r="F35" s="63">
        <v>26.8</v>
      </c>
      <c r="G35" s="62">
        <f>AVERAGE(B35:F35)</f>
        <v>26.24</v>
      </c>
    </row>
    <row r="36" spans="1:8" ht="13.5" thickBot="1" x14ac:dyDescent="0.25">
      <c r="A36" s="64" t="s">
        <v>8</v>
      </c>
      <c r="B36" s="65">
        <v>23.3</v>
      </c>
      <c r="C36" s="65">
        <v>23.2</v>
      </c>
      <c r="D36" s="65">
        <v>19.7</v>
      </c>
      <c r="E36" s="65">
        <v>18.600000000000001</v>
      </c>
      <c r="F36" s="65">
        <v>16.3</v>
      </c>
      <c r="G36" s="100">
        <f>AVERAGE(B36:F36)</f>
        <v>20.220000000000002</v>
      </c>
    </row>
    <row r="37" spans="1:8" ht="9.9499999999999993" customHeight="1" thickBot="1" x14ac:dyDescent="0.25">
      <c r="A37" s="66"/>
      <c r="D37" s="58"/>
      <c r="E37" s="58"/>
      <c r="F37" s="58"/>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9</v>
      </c>
      <c r="C40" s="32">
        <v>8</v>
      </c>
      <c r="D40" s="32">
        <v>9</v>
      </c>
      <c r="E40" s="32">
        <v>9</v>
      </c>
      <c r="F40" s="32">
        <v>9</v>
      </c>
      <c r="G40" s="45">
        <f>AVERAGE(B40:F40)</f>
        <v>8.8000000000000007</v>
      </c>
    </row>
    <row r="41" spans="1:8" x14ac:dyDescent="0.2">
      <c r="A41" s="60" t="s">
        <v>3</v>
      </c>
      <c r="B41" s="32">
        <v>2</v>
      </c>
      <c r="C41" s="32">
        <v>2</v>
      </c>
      <c r="D41" s="32">
        <v>1</v>
      </c>
      <c r="E41" s="32">
        <v>0</v>
      </c>
      <c r="F41" s="32">
        <v>1</v>
      </c>
      <c r="G41" s="45">
        <f>AVERAGE(B41:F41)</f>
        <v>1.2</v>
      </c>
    </row>
    <row r="42" spans="1:8" x14ac:dyDescent="0.2">
      <c r="A42" s="13" t="s">
        <v>4</v>
      </c>
      <c r="B42" s="14">
        <f>SUM(B40:B41)</f>
        <v>11</v>
      </c>
      <c r="C42" s="14">
        <f>SUM(C40:C41)</f>
        <v>10</v>
      </c>
      <c r="D42" s="14">
        <f>SUM(D40:D41)</f>
        <v>10</v>
      </c>
      <c r="E42" s="14">
        <f>SUM(E40:E41)</f>
        <v>9</v>
      </c>
      <c r="F42" s="14">
        <f>SUM(F40:F41)</f>
        <v>10</v>
      </c>
      <c r="G42" s="17">
        <f>AVERAGE(B42:F42)</f>
        <v>10</v>
      </c>
    </row>
    <row r="43" spans="1:8" ht="13.5" thickBot="1" x14ac:dyDescent="0.25">
      <c r="A43" s="39" t="s">
        <v>49</v>
      </c>
      <c r="B43" s="40">
        <f>B40+(B41/3)</f>
        <v>9.6666666666666661</v>
      </c>
      <c r="C43" s="40">
        <f>C40+(C41/3)</f>
        <v>8.6666666666666661</v>
      </c>
      <c r="D43" s="40">
        <f>D40+(D41/3)</f>
        <v>9.3333333333333339</v>
      </c>
      <c r="E43" s="40">
        <f>E40+(E41/3)</f>
        <v>9</v>
      </c>
      <c r="F43" s="40">
        <f>F40+(F41/3)</f>
        <v>9.3333333333333339</v>
      </c>
      <c r="G43" s="67">
        <f>AVERAGE(B43:F43)</f>
        <v>9.1999999999999993</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21.931034482758623</v>
      </c>
      <c r="C47" s="56">
        <f>(C8+C14)/C43</f>
        <v>22.53846153846154</v>
      </c>
      <c r="D47" s="56">
        <f>(D8+D14)/D43</f>
        <v>21.25</v>
      </c>
      <c r="E47" s="56">
        <f>(E8+E14)/E43</f>
        <v>23.777777777777779</v>
      </c>
      <c r="F47" s="56">
        <f>(F8+F14)/F43</f>
        <v>22.678571428571427</v>
      </c>
      <c r="G47" s="57">
        <f>AVERAGE(B47:F47)</f>
        <v>22.435169045513877</v>
      </c>
    </row>
    <row r="48" spans="1:8" ht="9.9499999999999993" customHeight="1" thickBot="1" x14ac:dyDescent="0.25">
      <c r="B48" s="58"/>
      <c r="C48" s="58"/>
      <c r="D48" s="58"/>
      <c r="E48" s="58"/>
      <c r="G48" s="59"/>
      <c r="H48" s="58"/>
    </row>
    <row r="49" spans="1:10" x14ac:dyDescent="0.2">
      <c r="A49" s="18" t="s">
        <v>58</v>
      </c>
      <c r="B49" s="19"/>
      <c r="C49" s="19"/>
      <c r="D49" s="19"/>
      <c r="E49" s="19"/>
      <c r="F49" s="19"/>
      <c r="G49" s="20"/>
    </row>
    <row r="50" spans="1:10" x14ac:dyDescent="0.2">
      <c r="A50" s="68"/>
      <c r="B50" s="4" t="s">
        <v>53</v>
      </c>
      <c r="C50" s="4" t="s">
        <v>55</v>
      </c>
      <c r="D50" s="4" t="s">
        <v>59</v>
      </c>
      <c r="E50" s="4" t="s">
        <v>60</v>
      </c>
      <c r="F50" s="4" t="s">
        <v>67</v>
      </c>
      <c r="G50" s="30" t="s">
        <v>1</v>
      </c>
    </row>
    <row r="51" spans="1:10" ht="13.5" thickBot="1" x14ac:dyDescent="0.25">
      <c r="A51" s="55" t="s">
        <v>10</v>
      </c>
      <c r="B51" s="69">
        <f>B31/B43</f>
        <v>560.17241379310349</v>
      </c>
      <c r="C51" s="56">
        <f>C31/C43</f>
        <v>622.73076923076928</v>
      </c>
      <c r="D51" s="56">
        <f>D31/D43</f>
        <v>523.92857142857144</v>
      </c>
      <c r="E51" s="56">
        <f>E31/E43</f>
        <v>669</v>
      </c>
      <c r="F51" s="56">
        <f>F31/F43</f>
        <v>672.75</v>
      </c>
      <c r="G51" s="57">
        <f>AVERAGE(B51:F51)</f>
        <v>609.71635089048891</v>
      </c>
    </row>
    <row r="52" spans="1:10" ht="9.9499999999999993" customHeight="1" thickBot="1" x14ac:dyDescent="0.25">
      <c r="B52" s="58"/>
      <c r="C52" s="58"/>
      <c r="D52" s="58"/>
      <c r="E52" s="58"/>
      <c r="F52" s="58"/>
      <c r="G52" s="58"/>
      <c r="H52" s="58"/>
    </row>
    <row r="53" spans="1:10" x14ac:dyDescent="0.2">
      <c r="A53" s="18" t="s">
        <v>71</v>
      </c>
      <c r="B53" s="19"/>
      <c r="C53" s="19"/>
      <c r="D53" s="19"/>
      <c r="E53" s="19"/>
      <c r="F53" s="19"/>
      <c r="G53" s="20"/>
    </row>
    <row r="54" spans="1:10" x14ac:dyDescent="0.2">
      <c r="A54" s="68"/>
      <c r="B54" s="4" t="s">
        <v>53</v>
      </c>
      <c r="C54" s="4" t="s">
        <v>55</v>
      </c>
      <c r="D54" s="4" t="s">
        <v>59</v>
      </c>
      <c r="E54" s="4" t="s">
        <v>60</v>
      </c>
      <c r="F54" s="4" t="s">
        <v>67</v>
      </c>
      <c r="G54" s="30" t="s">
        <v>1</v>
      </c>
    </row>
    <row r="55" spans="1:10" ht="13.5" thickBot="1" x14ac:dyDescent="0.25">
      <c r="A55" s="55" t="s">
        <v>11</v>
      </c>
      <c r="B55" s="73">
        <v>1130278</v>
      </c>
      <c r="C55" s="73">
        <v>1056415</v>
      </c>
      <c r="D55" s="73">
        <v>1172609</v>
      </c>
      <c r="E55" s="73">
        <v>1077389</v>
      </c>
      <c r="F55" s="73">
        <v>1156247</v>
      </c>
      <c r="G55" s="74">
        <f>AVERAGE(B55:F55)</f>
        <v>1118587.6000000001</v>
      </c>
    </row>
    <row r="56" spans="1:10" ht="9.9499999999999993" customHeight="1" thickBot="1" x14ac:dyDescent="0.25">
      <c r="A56" s="85"/>
      <c r="B56" s="58"/>
      <c r="C56" s="58"/>
      <c r="D56" s="58"/>
      <c r="E56" s="58"/>
      <c r="F56" s="58"/>
      <c r="G56" s="58"/>
      <c r="H56" s="58"/>
    </row>
    <row r="57" spans="1:10" x14ac:dyDescent="0.2">
      <c r="A57" s="18" t="s">
        <v>72</v>
      </c>
      <c r="B57" s="19"/>
      <c r="C57" s="19"/>
      <c r="D57" s="19"/>
      <c r="E57" s="19"/>
      <c r="F57" s="19"/>
      <c r="G57" s="20"/>
    </row>
    <row r="58" spans="1:10" x14ac:dyDescent="0.2">
      <c r="A58" s="68"/>
      <c r="B58" s="4" t="s">
        <v>53</v>
      </c>
      <c r="C58" s="4" t="s">
        <v>55</v>
      </c>
      <c r="D58" s="4" t="s">
        <v>59</v>
      </c>
      <c r="E58" s="4" t="s">
        <v>60</v>
      </c>
      <c r="F58" s="4" t="s">
        <v>67</v>
      </c>
      <c r="G58" s="30" t="s">
        <v>1</v>
      </c>
    </row>
    <row r="59" spans="1:10" ht="13.5" thickBot="1" x14ac:dyDescent="0.25">
      <c r="A59" s="55" t="s">
        <v>12</v>
      </c>
      <c r="B59" s="75">
        <f>B55/B31</f>
        <v>208.73093259464451</v>
      </c>
      <c r="C59" s="76">
        <f>C55/C31</f>
        <v>195.74115249212525</v>
      </c>
      <c r="D59" s="76">
        <f>D55/D31</f>
        <v>239.79734151329242</v>
      </c>
      <c r="E59" s="76">
        <f>E55/E31</f>
        <v>178.93854841388475</v>
      </c>
      <c r="F59" s="76">
        <f>F55/F31</f>
        <v>184.14508679726072</v>
      </c>
      <c r="G59" s="74">
        <f>AVERAGE(B59:F59)</f>
        <v>201.47061236224152</v>
      </c>
    </row>
    <row r="60" spans="1:10" ht="13.5" thickBot="1" x14ac:dyDescent="0.25"/>
    <row r="61" spans="1:10" x14ac:dyDescent="0.2">
      <c r="A61" s="18" t="s">
        <v>74</v>
      </c>
      <c r="B61" s="19"/>
      <c r="C61" s="19"/>
      <c r="D61" s="19"/>
      <c r="E61" s="19"/>
      <c r="F61" s="19"/>
      <c r="G61" s="20"/>
    </row>
    <row r="62" spans="1:10" x14ac:dyDescent="0.2">
      <c r="A62" s="68"/>
      <c r="B62" s="4" t="s">
        <v>53</v>
      </c>
      <c r="C62" s="4" t="s">
        <v>55</v>
      </c>
      <c r="D62" s="4" t="s">
        <v>59</v>
      </c>
      <c r="E62" s="4" t="s">
        <v>60</v>
      </c>
      <c r="F62" s="4" t="s">
        <v>67</v>
      </c>
      <c r="G62" s="30" t="s">
        <v>1</v>
      </c>
    </row>
    <row r="63" spans="1:10" ht="13.5" thickBot="1" x14ac:dyDescent="0.25">
      <c r="A63" s="55" t="s">
        <v>12</v>
      </c>
      <c r="B63" s="75">
        <f>B55/B43</f>
        <v>116925.31034482759</v>
      </c>
      <c r="C63" s="75">
        <f t="shared" ref="C63:F63" si="1">C55/C43</f>
        <v>121894.03846153847</v>
      </c>
      <c r="D63" s="75">
        <f t="shared" si="1"/>
        <v>125636.67857142857</v>
      </c>
      <c r="E63" s="75">
        <f t="shared" si="1"/>
        <v>119709.88888888889</v>
      </c>
      <c r="F63" s="75">
        <f t="shared" si="1"/>
        <v>123883.60714285713</v>
      </c>
      <c r="G63" s="74">
        <f>AVERAGE(B63:F63)</f>
        <v>121609.90468190813</v>
      </c>
    </row>
    <row r="64" spans="1:10" x14ac:dyDescent="0.2">
      <c r="J64" s="159" t="s">
        <v>38</v>
      </c>
    </row>
  </sheetData>
  <mergeCells count="1">
    <mergeCell ref="B1:D1"/>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25</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191</v>
      </c>
      <c r="C5" s="33">
        <v>182</v>
      </c>
      <c r="D5" s="32">
        <f>55+104+57</f>
        <v>216</v>
      </c>
      <c r="E5" s="32">
        <v>195</v>
      </c>
      <c r="F5" s="32">
        <v>190</v>
      </c>
      <c r="G5" s="34">
        <f>AVERAGE(B5:F5)</f>
        <v>194.8</v>
      </c>
    </row>
    <row r="6" spans="1:8" x14ac:dyDescent="0.2">
      <c r="A6" s="31" t="s">
        <v>3</v>
      </c>
      <c r="B6" s="32">
        <v>43</v>
      </c>
      <c r="C6" s="33">
        <v>45</v>
      </c>
      <c r="D6" s="32">
        <f>6+25+10</f>
        <v>41</v>
      </c>
      <c r="E6" s="32">
        <v>37</v>
      </c>
      <c r="F6" s="32">
        <v>42</v>
      </c>
      <c r="G6" s="34">
        <f>AVERAGE(B6:F6)</f>
        <v>41.6</v>
      </c>
    </row>
    <row r="7" spans="1:8" x14ac:dyDescent="0.2">
      <c r="A7" s="13" t="s">
        <v>4</v>
      </c>
      <c r="B7" s="14">
        <f>SUM(B5:B6)</f>
        <v>234</v>
      </c>
      <c r="C7" s="14">
        <f>SUM(C5:C6)</f>
        <v>227</v>
      </c>
      <c r="D7" s="14">
        <f>SUM(D5:D6)</f>
        <v>257</v>
      </c>
      <c r="E7" s="15">
        <f>SUM(E5:E6)</f>
        <v>232</v>
      </c>
      <c r="F7" s="15">
        <f>SUM(F5:F6)</f>
        <v>232</v>
      </c>
      <c r="G7" s="17">
        <f>AVERAGE(B7:F7)</f>
        <v>236.4</v>
      </c>
    </row>
    <row r="8" spans="1:8" ht="13.5" thickBot="1" x14ac:dyDescent="0.25">
      <c r="A8" s="35" t="s">
        <v>48</v>
      </c>
      <c r="B8" s="36">
        <f>B5+(B6/3)</f>
        <v>205.33333333333334</v>
      </c>
      <c r="C8" s="36">
        <f>C5+(C6/3)</f>
        <v>197</v>
      </c>
      <c r="D8" s="36">
        <f>D5+(D6/3)</f>
        <v>229.66666666666666</v>
      </c>
      <c r="E8" s="37">
        <f>E5+(E6/3)</f>
        <v>207.33333333333334</v>
      </c>
      <c r="F8" s="37">
        <f>F5+(F6/3)</f>
        <v>204</v>
      </c>
      <c r="G8" s="38">
        <f>AVERAGE(B8:F8)</f>
        <v>208.66666666666669</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32">
        <v>6</v>
      </c>
      <c r="C11" s="33">
        <v>4</v>
      </c>
      <c r="D11" s="32">
        <v>6</v>
      </c>
      <c r="E11" s="32">
        <v>7</v>
      </c>
      <c r="F11" s="32">
        <v>8</v>
      </c>
      <c r="G11" s="34">
        <f>AVERAGE(B11:F11)</f>
        <v>6.2</v>
      </c>
    </row>
    <row r="12" spans="1:8" x14ac:dyDescent="0.2">
      <c r="A12" s="31" t="s">
        <v>3</v>
      </c>
      <c r="B12" s="32">
        <v>18</v>
      </c>
      <c r="C12" s="33">
        <v>16</v>
      </c>
      <c r="D12" s="32">
        <v>18</v>
      </c>
      <c r="E12" s="32">
        <v>17</v>
      </c>
      <c r="F12" s="32">
        <v>18</v>
      </c>
      <c r="G12" s="34">
        <f>AVERAGE(B12:F12)</f>
        <v>17.399999999999999</v>
      </c>
    </row>
    <row r="13" spans="1:8" x14ac:dyDescent="0.2">
      <c r="A13" s="13" t="s">
        <v>4</v>
      </c>
      <c r="B13" s="14">
        <f>SUM(B11:B12)</f>
        <v>24</v>
      </c>
      <c r="C13" s="14">
        <f>SUM(C11:C12)</f>
        <v>20</v>
      </c>
      <c r="D13" s="14">
        <f>SUM(D11:D12)</f>
        <v>24</v>
      </c>
      <c r="E13" s="15">
        <f>SUM(E11:E12)</f>
        <v>24</v>
      </c>
      <c r="F13" s="14">
        <f>SUM(F11:F12)</f>
        <v>26</v>
      </c>
      <c r="G13" s="16">
        <f>AVERAGE(B13:F13)</f>
        <v>23.6</v>
      </c>
    </row>
    <row r="14" spans="1:8" ht="13.5" thickBot="1" x14ac:dyDescent="0.25">
      <c r="A14" s="39" t="s">
        <v>48</v>
      </c>
      <c r="B14" s="40">
        <f>B11+(B12/3)</f>
        <v>12</v>
      </c>
      <c r="C14" s="40">
        <f>C11+(C12/3)</f>
        <v>9.3333333333333321</v>
      </c>
      <c r="D14" s="40">
        <f>D11+(D12/3)</f>
        <v>12</v>
      </c>
      <c r="E14" s="41">
        <f>E11+(E12/3)</f>
        <v>12.666666666666668</v>
      </c>
      <c r="F14" s="40">
        <f>F11+(F12/3)</f>
        <v>14</v>
      </c>
      <c r="G14" s="42">
        <f>AVERAGE(B14:F14)</f>
        <v>12</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41</v>
      </c>
      <c r="C18" s="32">
        <v>58</v>
      </c>
      <c r="D18" s="32">
        <v>48</v>
      </c>
      <c r="E18" s="32">
        <v>52</v>
      </c>
      <c r="F18" s="32">
        <v>41</v>
      </c>
      <c r="G18" s="45">
        <f>AVERAGE(B18:F18)</f>
        <v>48</v>
      </c>
    </row>
    <row r="19" spans="1:8" x14ac:dyDescent="0.2">
      <c r="A19" s="46" t="s">
        <v>63</v>
      </c>
      <c r="B19" s="47">
        <v>11</v>
      </c>
      <c r="C19" s="47">
        <v>4</v>
      </c>
      <c r="D19" s="47">
        <v>8</v>
      </c>
      <c r="E19" s="47">
        <v>4</v>
      </c>
      <c r="F19" s="47">
        <v>8</v>
      </c>
      <c r="G19" s="48">
        <f>AVERAGE(B19:F19)</f>
        <v>7</v>
      </c>
    </row>
    <row r="20" spans="1:8" ht="13.5" thickBot="1" x14ac:dyDescent="0.25">
      <c r="A20" s="49" t="s">
        <v>4</v>
      </c>
      <c r="B20" s="79">
        <f>B19+B18</f>
        <v>52</v>
      </c>
      <c r="C20" s="79">
        <f t="shared" ref="C20:F20" si="0">C19+C18</f>
        <v>62</v>
      </c>
      <c r="D20" s="79">
        <f t="shared" si="0"/>
        <v>56</v>
      </c>
      <c r="E20" s="79">
        <f t="shared" si="0"/>
        <v>56</v>
      </c>
      <c r="F20" s="79">
        <f t="shared" si="0"/>
        <v>49</v>
      </c>
      <c r="G20" s="51">
        <f>AVERAGE(B20:F20)</f>
        <v>55</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5.7073170731707314</v>
      </c>
      <c r="C24" s="54">
        <f>C7/C18</f>
        <v>3.9137931034482758</v>
      </c>
      <c r="D24" s="54">
        <f>D7/D18</f>
        <v>5.354166666666667</v>
      </c>
      <c r="E24" s="54">
        <f>E7/E18</f>
        <v>4.4615384615384617</v>
      </c>
      <c r="F24" s="54">
        <f>F7/F18</f>
        <v>5.6585365853658534</v>
      </c>
      <c r="G24" s="45">
        <f>AVERAGE(B24:F24)</f>
        <v>5.0190703780379975</v>
      </c>
    </row>
    <row r="25" spans="1:8" ht="13.5" thickBot="1" x14ac:dyDescent="0.25">
      <c r="A25" s="55" t="s">
        <v>64</v>
      </c>
      <c r="B25" s="56">
        <f>B13/B19</f>
        <v>2.1818181818181817</v>
      </c>
      <c r="C25" s="56">
        <f t="shared" ref="C25:F25" si="1">C13/C19</f>
        <v>5</v>
      </c>
      <c r="D25" s="56">
        <f t="shared" si="1"/>
        <v>3</v>
      </c>
      <c r="E25" s="56">
        <f t="shared" si="1"/>
        <v>6</v>
      </c>
      <c r="F25" s="56">
        <f t="shared" si="1"/>
        <v>3.25</v>
      </c>
      <c r="G25" s="57">
        <f>AVERAGE(B25:F25)</f>
        <v>3.8863636363636358</v>
      </c>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14738</v>
      </c>
      <c r="C29" s="61">
        <v>14794</v>
      </c>
      <c r="D29" s="61">
        <v>13736</v>
      </c>
      <c r="E29" s="61">
        <v>12177</v>
      </c>
      <c r="F29" s="61">
        <v>11950</v>
      </c>
      <c r="G29" s="62">
        <f>AVERAGE(B29:F29)</f>
        <v>13479</v>
      </c>
    </row>
    <row r="30" spans="1:8" x14ac:dyDescent="0.2">
      <c r="A30" s="60" t="s">
        <v>8</v>
      </c>
      <c r="B30" s="61">
        <v>468</v>
      </c>
      <c r="C30" s="61">
        <v>351</v>
      </c>
      <c r="D30" s="61">
        <v>426</v>
      </c>
      <c r="E30" s="61">
        <v>411</v>
      </c>
      <c r="F30" s="61">
        <v>390</v>
      </c>
      <c r="G30" s="62">
        <f>AVERAGE(B30:F30)</f>
        <v>409.2</v>
      </c>
    </row>
    <row r="31" spans="1:8" ht="13.5" thickBot="1" x14ac:dyDescent="0.25">
      <c r="A31" s="22" t="s">
        <v>4</v>
      </c>
      <c r="B31" s="23">
        <f>SUM(B29:B30)</f>
        <v>15206</v>
      </c>
      <c r="C31" s="23">
        <f>SUM(C29:C30)</f>
        <v>15145</v>
      </c>
      <c r="D31" s="23">
        <f>SUM(D29:D30)</f>
        <v>14162</v>
      </c>
      <c r="E31" s="23">
        <f>SUM(E29:E30)</f>
        <v>12588</v>
      </c>
      <c r="F31" s="23">
        <f>SUM(F29:F30)</f>
        <v>12340</v>
      </c>
      <c r="G31" s="24">
        <f>AVERAGE(B31:F31)</f>
        <v>13888.2</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32.5</v>
      </c>
      <c r="C35" s="32">
        <v>26.5</v>
      </c>
      <c r="D35" s="63">
        <v>25.6</v>
      </c>
      <c r="E35" s="63">
        <v>25.2</v>
      </c>
      <c r="F35" s="63">
        <v>26.9</v>
      </c>
      <c r="G35" s="45">
        <f>AVERAGE(B35:F35)</f>
        <v>27.339999999999996</v>
      </c>
    </row>
    <row r="36" spans="1:8" ht="13.5" thickBot="1" x14ac:dyDescent="0.25">
      <c r="A36" s="64" t="s">
        <v>8</v>
      </c>
      <c r="B36" s="65">
        <v>10.3</v>
      </c>
      <c r="C36" s="65">
        <v>7.7</v>
      </c>
      <c r="D36" s="65">
        <v>10.8</v>
      </c>
      <c r="E36" s="65">
        <v>8.6999999999999993</v>
      </c>
      <c r="F36" s="65">
        <v>10.1</v>
      </c>
      <c r="G36" s="57">
        <f>AVERAGE(B36:F36)</f>
        <v>9.52</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14</v>
      </c>
      <c r="C40" s="32">
        <v>13</v>
      </c>
      <c r="D40" s="32">
        <v>15</v>
      </c>
      <c r="E40" s="32">
        <v>15</v>
      </c>
      <c r="F40" s="32">
        <v>14</v>
      </c>
      <c r="G40" s="45">
        <f>AVERAGE(B40:F40)</f>
        <v>14.2</v>
      </c>
    </row>
    <row r="41" spans="1:8" x14ac:dyDescent="0.2">
      <c r="A41" s="60" t="s">
        <v>3</v>
      </c>
      <c r="B41" s="32">
        <v>7</v>
      </c>
      <c r="C41" s="32">
        <v>10</v>
      </c>
      <c r="D41" s="32">
        <v>10</v>
      </c>
      <c r="E41" s="32">
        <v>9</v>
      </c>
      <c r="F41" s="32">
        <v>7</v>
      </c>
      <c r="G41" s="45">
        <f>AVERAGE(B41:F41)</f>
        <v>8.6</v>
      </c>
    </row>
    <row r="42" spans="1:8" x14ac:dyDescent="0.2">
      <c r="A42" s="13" t="s">
        <v>4</v>
      </c>
      <c r="B42" s="14">
        <f>SUM(B40:B41)</f>
        <v>21</v>
      </c>
      <c r="C42" s="14">
        <f>SUM(C40:C41)</f>
        <v>23</v>
      </c>
      <c r="D42" s="14">
        <f>SUM(D40:D41)</f>
        <v>25</v>
      </c>
      <c r="E42" s="14">
        <f>SUM(E40:E41)</f>
        <v>24</v>
      </c>
      <c r="F42" s="14">
        <f>SUM(F40:F41)</f>
        <v>21</v>
      </c>
      <c r="G42" s="17">
        <f>AVERAGE(B42:F42)</f>
        <v>22.8</v>
      </c>
    </row>
    <row r="43" spans="1:8" ht="13.5" thickBot="1" x14ac:dyDescent="0.25">
      <c r="A43" s="39" t="s">
        <v>49</v>
      </c>
      <c r="B43" s="40">
        <f>B40+(B41/3)</f>
        <v>16.333333333333332</v>
      </c>
      <c r="C43" s="40">
        <f>C40+(C41/3)</f>
        <v>16.333333333333332</v>
      </c>
      <c r="D43" s="40">
        <f>D40+(D41/3)</f>
        <v>18.333333333333332</v>
      </c>
      <c r="E43" s="40">
        <f>E40+(E41/3)</f>
        <v>18</v>
      </c>
      <c r="F43" s="40">
        <f>F40+(F41/3)</f>
        <v>16.333333333333332</v>
      </c>
      <c r="G43" s="67">
        <f>AVERAGE(B43:F43)</f>
        <v>17.066666666666666</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13.306122448979593</v>
      </c>
      <c r="C47" s="56">
        <f>(C8+C14)/C43</f>
        <v>12.632653061224492</v>
      </c>
      <c r="D47" s="56">
        <f>(D8+D14)/D43</f>
        <v>13.181818181818182</v>
      </c>
      <c r="E47" s="56">
        <f>(E8+E14)/E43</f>
        <v>12.222222222222221</v>
      </c>
      <c r="F47" s="56">
        <f>(F8+F14)/F43</f>
        <v>13.346938775510205</v>
      </c>
      <c r="G47" s="57">
        <f>AVERAGE(B47:F47)</f>
        <v>12.937950937950939</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930.97959183673481</v>
      </c>
      <c r="C51" s="56">
        <f>C31/C43</f>
        <v>927.24489795918373</v>
      </c>
      <c r="D51" s="56">
        <f>D31/D43</f>
        <v>772.4727272727273</v>
      </c>
      <c r="E51" s="56">
        <f>E31/E43</f>
        <v>699.33333333333337</v>
      </c>
      <c r="F51" s="56">
        <f>F31/F43</f>
        <v>755.51020408163276</v>
      </c>
      <c r="G51" s="57">
        <f>AVERAGE(B51:F51)</f>
        <v>817.10815089672246</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1260798</v>
      </c>
      <c r="C55" s="73">
        <f>1409653.54+1414.19</f>
        <v>1411067.73</v>
      </c>
      <c r="D55" s="73">
        <v>1478038.41</v>
      </c>
      <c r="E55" s="73">
        <v>1500685</v>
      </c>
      <c r="F55" s="73">
        <v>1457032</v>
      </c>
      <c r="G55" s="74">
        <f>AVERAGE(B55:F55)</f>
        <v>1421524.2279999999</v>
      </c>
    </row>
    <row r="56" spans="1:8" ht="9.9499999999999993" customHeight="1" thickBot="1" x14ac:dyDescent="0.25">
      <c r="B56" s="90"/>
      <c r="C56" s="90"/>
      <c r="D56" s="90"/>
      <c r="E56" s="90"/>
      <c r="F56" s="90"/>
      <c r="G56" s="91"/>
      <c r="H56" s="91"/>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82.91450743127713</v>
      </c>
      <c r="C59" s="76">
        <f>C55/C31</f>
        <v>93.17053350940904</v>
      </c>
      <c r="D59" s="76">
        <f>D55/D31</f>
        <v>104.36650261262533</v>
      </c>
      <c r="E59" s="76">
        <f>E55/E31</f>
        <v>119.21552272005084</v>
      </c>
      <c r="F59" s="76">
        <f>F55/F31</f>
        <v>118.07390599675851</v>
      </c>
      <c r="G59" s="74">
        <f>AVERAGE(B59:F59)</f>
        <v>103.54819445402416</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77191.71428571429</v>
      </c>
      <c r="C63" s="75">
        <f t="shared" ref="C63:F63" si="2">C55/C43</f>
        <v>86391.901836734702</v>
      </c>
      <c r="D63" s="75">
        <f t="shared" si="2"/>
        <v>80620.276909090913</v>
      </c>
      <c r="E63" s="75">
        <f t="shared" si="2"/>
        <v>83371.388888888891</v>
      </c>
      <c r="F63" s="75">
        <f t="shared" si="2"/>
        <v>89206.040816326538</v>
      </c>
      <c r="G63" s="74">
        <f>AVERAGE(B63:F63)</f>
        <v>83356.264547351078</v>
      </c>
    </row>
  </sheetData>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186" t="s">
        <v>31</v>
      </c>
      <c r="C1" s="188"/>
      <c r="D1" s="190"/>
      <c r="E1" s="28"/>
      <c r="F1" s="28"/>
      <c r="G1" s="28"/>
      <c r="H1" s="28"/>
    </row>
    <row r="2" spans="1:8" ht="13.5" thickBot="1" x14ac:dyDescent="0.25">
      <c r="A2" s="189" t="s">
        <v>57</v>
      </c>
      <c r="B2" s="189"/>
      <c r="C2" s="189"/>
      <c r="D2" s="189"/>
      <c r="E2" s="189"/>
      <c r="F2" s="189"/>
      <c r="G2" s="28"/>
      <c r="H2" s="28"/>
    </row>
    <row r="3" spans="1:8" ht="15" customHeight="1" x14ac:dyDescent="0.2">
      <c r="A3" s="5" t="s">
        <v>69</v>
      </c>
      <c r="B3" s="6"/>
      <c r="C3" s="6"/>
      <c r="D3" s="6"/>
      <c r="E3" s="6"/>
      <c r="F3" s="6"/>
      <c r="G3" s="7"/>
    </row>
    <row r="4" spans="1:8" x14ac:dyDescent="0.2">
      <c r="A4" s="29" t="s">
        <v>0</v>
      </c>
      <c r="B4" s="4" t="s">
        <v>53</v>
      </c>
      <c r="C4" s="4" t="s">
        <v>56</v>
      </c>
      <c r="D4" s="4" t="s">
        <v>59</v>
      </c>
      <c r="E4" s="4" t="s">
        <v>60</v>
      </c>
      <c r="F4" s="4" t="s">
        <v>67</v>
      </c>
      <c r="G4" s="30" t="s">
        <v>1</v>
      </c>
    </row>
    <row r="5" spans="1:8" x14ac:dyDescent="0.2">
      <c r="A5" s="31" t="s">
        <v>2</v>
      </c>
      <c r="B5" s="32">
        <v>174</v>
      </c>
      <c r="C5" s="33">
        <v>99</v>
      </c>
      <c r="D5" s="32">
        <v>81</v>
      </c>
      <c r="E5" s="32">
        <v>70</v>
      </c>
      <c r="F5" s="32">
        <v>78</v>
      </c>
      <c r="G5" s="34">
        <f>AVERAGE(B5:F5)</f>
        <v>100.4</v>
      </c>
    </row>
    <row r="6" spans="1:8" x14ac:dyDescent="0.2">
      <c r="A6" s="31" t="s">
        <v>3</v>
      </c>
      <c r="B6" s="32">
        <v>26</v>
      </c>
      <c r="C6" s="33">
        <v>16</v>
      </c>
      <c r="D6" s="32">
        <v>10</v>
      </c>
      <c r="E6" s="32">
        <v>13</v>
      </c>
      <c r="F6" s="32">
        <v>13</v>
      </c>
      <c r="G6" s="34">
        <f>AVERAGE(B6:F6)</f>
        <v>15.6</v>
      </c>
    </row>
    <row r="7" spans="1:8" x14ac:dyDescent="0.2">
      <c r="A7" s="13" t="s">
        <v>4</v>
      </c>
      <c r="B7" s="14">
        <f>SUM(B5:B6)</f>
        <v>200</v>
      </c>
      <c r="C7" s="14">
        <f>SUM(C5:C6)</f>
        <v>115</v>
      </c>
      <c r="D7" s="14">
        <f>SUM(D5:D6)</f>
        <v>91</v>
      </c>
      <c r="E7" s="15">
        <f>SUM(E5:E6)</f>
        <v>83</v>
      </c>
      <c r="F7" s="15">
        <f>SUM(F5:F6)</f>
        <v>91</v>
      </c>
      <c r="G7" s="17">
        <f>AVERAGE(B7:F7)</f>
        <v>116</v>
      </c>
    </row>
    <row r="8" spans="1:8" ht="13.5" thickBot="1" x14ac:dyDescent="0.25">
      <c r="A8" s="35" t="s">
        <v>48</v>
      </c>
      <c r="B8" s="36">
        <f>B5+(B6/3)</f>
        <v>182.66666666666666</v>
      </c>
      <c r="C8" s="36">
        <f>C5+(C6/3)</f>
        <v>104.33333333333333</v>
      </c>
      <c r="D8" s="36">
        <f>D5+(D6/3)</f>
        <v>84.333333333333329</v>
      </c>
      <c r="E8" s="37">
        <f>E5+(E6/3)</f>
        <v>74.333333333333329</v>
      </c>
      <c r="F8" s="37">
        <f>F5+(F6/3)</f>
        <v>82.333333333333329</v>
      </c>
      <c r="G8" s="38">
        <f>AVERAGE(B8:F8)</f>
        <v>105.6</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29"/>
      <c r="C14" s="129"/>
      <c r="D14" s="129"/>
      <c r="E14" s="130"/>
      <c r="F14" s="129"/>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11</v>
      </c>
      <c r="C18" s="32">
        <v>17</v>
      </c>
      <c r="D18" s="32">
        <v>20</v>
      </c>
      <c r="E18" s="32">
        <v>10</v>
      </c>
      <c r="F18" s="32">
        <v>12</v>
      </c>
      <c r="G18" s="45">
        <f>AVERAGE(B18:F18)</f>
        <v>14</v>
      </c>
    </row>
    <row r="19" spans="1:8" x14ac:dyDescent="0.2">
      <c r="A19" s="46" t="s">
        <v>63</v>
      </c>
      <c r="B19" s="117"/>
      <c r="C19" s="117"/>
      <c r="D19" s="117"/>
      <c r="E19" s="117"/>
      <c r="F19" s="117"/>
      <c r="G19" s="118"/>
    </row>
    <row r="20" spans="1:8" ht="13.5" thickBot="1" x14ac:dyDescent="0.25">
      <c r="A20" s="49" t="s">
        <v>4</v>
      </c>
      <c r="B20" s="79">
        <f>B19+B18</f>
        <v>11</v>
      </c>
      <c r="C20" s="79">
        <f t="shared" ref="C20:F20" si="0">C19+C18</f>
        <v>17</v>
      </c>
      <c r="D20" s="79">
        <f t="shared" si="0"/>
        <v>20</v>
      </c>
      <c r="E20" s="79">
        <f t="shared" si="0"/>
        <v>10</v>
      </c>
      <c r="F20" s="79">
        <f t="shared" si="0"/>
        <v>12</v>
      </c>
      <c r="G20" s="51">
        <f>AVERAGE(B20:F20)</f>
        <v>14</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18.181818181818183</v>
      </c>
      <c r="C24" s="54">
        <f>C7/C18</f>
        <v>6.7647058823529411</v>
      </c>
      <c r="D24" s="54">
        <f>D7/D18</f>
        <v>4.55</v>
      </c>
      <c r="E24" s="54">
        <f>E7/E18</f>
        <v>8.3000000000000007</v>
      </c>
      <c r="F24" s="54">
        <f>F7/F18</f>
        <v>7.583333333333333</v>
      </c>
      <c r="G24" s="45">
        <f>AVERAGE(B24:F24)</f>
        <v>9.0759714795008914</v>
      </c>
    </row>
    <row r="25" spans="1:8" ht="13.5" thickBot="1" x14ac:dyDescent="0.25">
      <c r="A25" s="55" t="s">
        <v>64</v>
      </c>
      <c r="B25" s="133"/>
      <c r="C25" s="133"/>
      <c r="D25" s="133"/>
      <c r="E25" s="133"/>
      <c r="F25" s="133"/>
      <c r="G25" s="120"/>
    </row>
    <row r="26" spans="1:8" ht="9.9499999999999993" customHeight="1" thickBot="1" x14ac:dyDescent="0.25">
      <c r="A26" s="58"/>
      <c r="B26" s="58"/>
      <c r="C26" s="58"/>
      <c r="D26" s="58"/>
      <c r="E26" s="58"/>
      <c r="F26" s="58"/>
      <c r="G26" s="58"/>
      <c r="H26" s="58"/>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14258</v>
      </c>
      <c r="C29" s="61">
        <f>10586+879</f>
        <v>11465</v>
      </c>
      <c r="D29" s="61">
        <f>10581+497</f>
        <v>11078</v>
      </c>
      <c r="E29" s="61">
        <v>10319</v>
      </c>
      <c r="F29" s="61">
        <v>10211</v>
      </c>
      <c r="G29" s="62">
        <f>AVERAGE(B29:F29)</f>
        <v>11466.2</v>
      </c>
    </row>
    <row r="30" spans="1:8" x14ac:dyDescent="0.2">
      <c r="A30" s="60" t="s">
        <v>8</v>
      </c>
      <c r="B30" s="61">
        <v>111</v>
      </c>
      <c r="C30" s="61">
        <v>108</v>
      </c>
      <c r="D30" s="61">
        <f>63+30</f>
        <v>93</v>
      </c>
      <c r="E30" s="61">
        <v>75</v>
      </c>
      <c r="F30" s="61">
        <v>84</v>
      </c>
      <c r="G30" s="62">
        <f>AVERAGE(B30:F30)</f>
        <v>94.2</v>
      </c>
    </row>
    <row r="31" spans="1:8" ht="13.5" thickBot="1" x14ac:dyDescent="0.25">
      <c r="A31" s="22" t="s">
        <v>4</v>
      </c>
      <c r="B31" s="23">
        <f>SUM(B29:B30)</f>
        <v>14369</v>
      </c>
      <c r="C31" s="23">
        <f>SUM(C29:C30)</f>
        <v>11573</v>
      </c>
      <c r="D31" s="23">
        <f>SUM(D29:D30)</f>
        <v>11171</v>
      </c>
      <c r="E31" s="23">
        <f>SUM(E29:E30)</f>
        <v>10394</v>
      </c>
      <c r="F31" s="23">
        <f>SUM(F29:F30)</f>
        <v>10295</v>
      </c>
      <c r="G31" s="24">
        <f>AVERAGE(B31:F31)</f>
        <v>11560.4</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27.3</v>
      </c>
      <c r="C35" s="32">
        <v>24.2</v>
      </c>
      <c r="D35" s="63">
        <v>24.3</v>
      </c>
      <c r="E35" s="63">
        <v>23</v>
      </c>
      <c r="F35" s="63">
        <v>22.8</v>
      </c>
      <c r="G35" s="45">
        <f>AVERAGE(B35:F35)</f>
        <v>24.32</v>
      </c>
    </row>
    <row r="36" spans="1:8" ht="13.5" thickBot="1" x14ac:dyDescent="0.25">
      <c r="A36" s="64" t="s">
        <v>8</v>
      </c>
      <c r="B36" s="65">
        <v>8.5</v>
      </c>
      <c r="C36" s="65">
        <v>9</v>
      </c>
      <c r="D36" s="65">
        <v>7.7</v>
      </c>
      <c r="E36" s="65">
        <v>6.7</v>
      </c>
      <c r="F36" s="65">
        <v>7.7</v>
      </c>
      <c r="G36" s="57">
        <f>AVERAGE(B36:F36)</f>
        <v>7.92</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18</v>
      </c>
      <c r="C40" s="32">
        <v>14</v>
      </c>
      <c r="D40" s="32">
        <v>13</v>
      </c>
      <c r="E40" s="32">
        <v>15</v>
      </c>
      <c r="F40" s="32">
        <v>15</v>
      </c>
      <c r="G40" s="45">
        <f>AVERAGE(B40:F40)</f>
        <v>15</v>
      </c>
    </row>
    <row r="41" spans="1:8" x14ac:dyDescent="0.2">
      <c r="A41" s="60" t="s">
        <v>3</v>
      </c>
      <c r="B41" s="32">
        <v>12</v>
      </c>
      <c r="C41" s="32">
        <v>12</v>
      </c>
      <c r="D41" s="32">
        <v>10</v>
      </c>
      <c r="E41" s="32">
        <v>6</v>
      </c>
      <c r="F41" s="32">
        <v>7</v>
      </c>
      <c r="G41" s="45">
        <f>AVERAGE(B41:F41)</f>
        <v>9.4</v>
      </c>
    </row>
    <row r="42" spans="1:8" x14ac:dyDescent="0.2">
      <c r="A42" s="13" t="s">
        <v>4</v>
      </c>
      <c r="B42" s="14">
        <f>SUM(B40:B41)</f>
        <v>30</v>
      </c>
      <c r="C42" s="14">
        <f>SUM(C40:C41)</f>
        <v>26</v>
      </c>
      <c r="D42" s="14">
        <f>SUM(D40:D41)</f>
        <v>23</v>
      </c>
      <c r="E42" s="14">
        <f>SUM(E40:E41)</f>
        <v>21</v>
      </c>
      <c r="F42" s="14">
        <f>SUM(F40:F41)</f>
        <v>22</v>
      </c>
      <c r="G42" s="17">
        <f>AVERAGE(B42:F42)</f>
        <v>24.4</v>
      </c>
    </row>
    <row r="43" spans="1:8" ht="13.5" thickBot="1" x14ac:dyDescent="0.25">
      <c r="A43" s="39" t="s">
        <v>49</v>
      </c>
      <c r="B43" s="40">
        <f>B40+(B41/3)</f>
        <v>22</v>
      </c>
      <c r="C43" s="40">
        <f>C40+(C41/3)</f>
        <v>18</v>
      </c>
      <c r="D43" s="40">
        <f>D40+(D41/3)</f>
        <v>16.333333333333332</v>
      </c>
      <c r="E43" s="40">
        <f>E40+(E41/3)</f>
        <v>17</v>
      </c>
      <c r="F43" s="40">
        <f>F40+(F41/3)</f>
        <v>17.333333333333332</v>
      </c>
      <c r="G43" s="67">
        <f>AVERAGE(B43:F43)</f>
        <v>18.133333333333333</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8.3030303030303028</v>
      </c>
      <c r="C47" s="56">
        <f>(C8+C14)/C43</f>
        <v>5.7962962962962958</v>
      </c>
      <c r="D47" s="56">
        <f>(D8+D14)/D43</f>
        <v>5.1632653061224492</v>
      </c>
      <c r="E47" s="56">
        <f>(E8+E14)/E43</f>
        <v>4.3725490196078427</v>
      </c>
      <c r="F47" s="56">
        <f>(F8+F14)/F43</f>
        <v>4.75</v>
      </c>
      <c r="G47" s="57">
        <f>AVERAGE(B47:F47)</f>
        <v>5.6770281850113786</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653.13636363636363</v>
      </c>
      <c r="C51" s="56">
        <f>C31/C43</f>
        <v>642.94444444444446</v>
      </c>
      <c r="D51" s="56">
        <f>D31/D43</f>
        <v>683.9387755102041</v>
      </c>
      <c r="E51" s="56">
        <f>E31/E43</f>
        <v>611.41176470588232</v>
      </c>
      <c r="F51" s="56">
        <f>F31/F43</f>
        <v>593.94230769230774</v>
      </c>
      <c r="G51" s="57">
        <f>AVERAGE(B51:F51)</f>
        <v>637.07473119784049</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1288934</v>
      </c>
      <c r="C55" s="73">
        <v>1137111.06</v>
      </c>
      <c r="D55" s="73">
        <v>1154138.1399999999</v>
      </c>
      <c r="E55" s="73">
        <v>1213802</v>
      </c>
      <c r="F55" s="73">
        <v>1256206</v>
      </c>
      <c r="G55" s="74">
        <f>AVERAGE(B55:F55)</f>
        <v>1210038.24</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89.702414921010515</v>
      </c>
      <c r="C59" s="76">
        <f>C55/C31</f>
        <v>98.255513695670956</v>
      </c>
      <c r="D59" s="76">
        <f>D55/D31</f>
        <v>103.3155617223167</v>
      </c>
      <c r="E59" s="76">
        <f>E55/E31</f>
        <v>116.77910332884356</v>
      </c>
      <c r="F59" s="76">
        <f>F55/F31</f>
        <v>122.0209810587664</v>
      </c>
      <c r="G59" s="74">
        <f>AVERAGE(B59:F59)</f>
        <v>106.01471494532163</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58587.909090909088</v>
      </c>
      <c r="C63" s="75">
        <f t="shared" ref="C63:F63" si="1">C55/C43</f>
        <v>63172.83666666667</v>
      </c>
      <c r="D63" s="75">
        <f t="shared" si="1"/>
        <v>70661.518775510209</v>
      </c>
      <c r="E63" s="75">
        <f t="shared" si="1"/>
        <v>71400.117647058825</v>
      </c>
      <c r="F63" s="75">
        <f t="shared" si="1"/>
        <v>72473.423076923078</v>
      </c>
      <c r="G63" s="74">
        <f>AVERAGE(B63:F63)</f>
        <v>67259.161051413568</v>
      </c>
    </row>
  </sheetData>
  <mergeCells count="2">
    <mergeCell ref="B1:D1"/>
    <mergeCell ref="A2:F2"/>
  </mergeCells>
  <phoneticPr fontId="2" type="noConversion"/>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8"/>
  <sheetViews>
    <sheetView zoomScaleNormal="100" workbookViewId="0">
      <selection activeCell="B1" sqref="B1:D1"/>
    </sheetView>
  </sheetViews>
  <sheetFormatPr defaultRowHeight="12.75" x14ac:dyDescent="0.2"/>
  <cols>
    <col min="1" max="1" width="14.7109375" style="3" customWidth="1"/>
    <col min="2" max="2" width="12.7109375" style="3" bestFit="1" customWidth="1"/>
    <col min="3" max="6" width="11.7109375" style="3" customWidth="1"/>
    <col min="7" max="8" width="12.7109375" style="3" customWidth="1"/>
    <col min="9" max="16384" width="9.140625" style="3"/>
  </cols>
  <sheetData>
    <row r="1" spans="1:8" x14ac:dyDescent="0.2">
      <c r="A1" s="26" t="s">
        <v>13</v>
      </c>
      <c r="B1" s="27" t="s">
        <v>17</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147</v>
      </c>
      <c r="C5" s="33">
        <v>124</v>
      </c>
      <c r="D5" s="32">
        <v>135</v>
      </c>
      <c r="E5" s="32">
        <v>143</v>
      </c>
      <c r="F5" s="32">
        <v>115</v>
      </c>
      <c r="G5" s="34">
        <f>AVERAGE(B5:F5)</f>
        <v>132.80000000000001</v>
      </c>
    </row>
    <row r="6" spans="1:8" x14ac:dyDescent="0.2">
      <c r="A6" s="31" t="s">
        <v>3</v>
      </c>
      <c r="B6" s="32">
        <v>31</v>
      </c>
      <c r="C6" s="33">
        <v>12</v>
      </c>
      <c r="D6" s="32">
        <v>16</v>
      </c>
      <c r="E6" s="32">
        <v>18</v>
      </c>
      <c r="F6" s="32">
        <v>15</v>
      </c>
      <c r="G6" s="34">
        <f>AVERAGE(B6:F6)</f>
        <v>18.399999999999999</v>
      </c>
    </row>
    <row r="7" spans="1:8" x14ac:dyDescent="0.2">
      <c r="A7" s="13" t="s">
        <v>4</v>
      </c>
      <c r="B7" s="14">
        <f>SUM(B5:B6)</f>
        <v>178</v>
      </c>
      <c r="C7" s="14">
        <f>SUM(C5:C6)</f>
        <v>136</v>
      </c>
      <c r="D7" s="14">
        <f>SUM(D5:D6)</f>
        <v>151</v>
      </c>
      <c r="E7" s="15">
        <f>SUM(E5:E6)</f>
        <v>161</v>
      </c>
      <c r="F7" s="15">
        <f>SUM(F5:F6)</f>
        <v>130</v>
      </c>
      <c r="G7" s="17">
        <f>AVERAGE(B7:F7)</f>
        <v>151.19999999999999</v>
      </c>
    </row>
    <row r="8" spans="1:8" ht="13.5" thickBot="1" x14ac:dyDescent="0.25">
      <c r="A8" s="35" t="s">
        <v>48</v>
      </c>
      <c r="B8" s="36">
        <f>B5+(B6/3)</f>
        <v>157.33333333333334</v>
      </c>
      <c r="C8" s="36">
        <f>C5+(C6/3)</f>
        <v>128</v>
      </c>
      <c r="D8" s="36">
        <f>D5+(D6/3)</f>
        <v>140.33333333333334</v>
      </c>
      <c r="E8" s="37">
        <f>E5+(E6/3)</f>
        <v>149</v>
      </c>
      <c r="F8" s="37">
        <f>F5+(F6/3)</f>
        <v>120</v>
      </c>
      <c r="G8" s="38">
        <f>AVERAGE(B8:F8)</f>
        <v>138.93333333333334</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29"/>
      <c r="C14" s="129"/>
      <c r="D14" s="129"/>
      <c r="E14" s="130"/>
      <c r="F14" s="129"/>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14</v>
      </c>
      <c r="C18" s="32">
        <v>12</v>
      </c>
      <c r="D18" s="32">
        <v>16</v>
      </c>
      <c r="E18" s="32">
        <v>24</v>
      </c>
      <c r="F18" s="32">
        <v>17</v>
      </c>
      <c r="G18" s="45">
        <f>AVERAGE(B18:F18)</f>
        <v>16.600000000000001</v>
      </c>
    </row>
    <row r="19" spans="1:8" x14ac:dyDescent="0.2">
      <c r="A19" s="46" t="s">
        <v>63</v>
      </c>
      <c r="B19" s="117"/>
      <c r="C19" s="117"/>
      <c r="D19" s="117"/>
      <c r="E19" s="117"/>
      <c r="F19" s="117"/>
      <c r="G19" s="118"/>
    </row>
    <row r="20" spans="1:8" ht="13.5" thickBot="1" x14ac:dyDescent="0.25">
      <c r="A20" s="49" t="s">
        <v>4</v>
      </c>
      <c r="B20" s="79">
        <f>B19+B18</f>
        <v>14</v>
      </c>
      <c r="C20" s="79">
        <f t="shared" ref="C20:F20" si="0">C19+C18</f>
        <v>12</v>
      </c>
      <c r="D20" s="79">
        <f t="shared" si="0"/>
        <v>16</v>
      </c>
      <c r="E20" s="79">
        <f t="shared" si="0"/>
        <v>24</v>
      </c>
      <c r="F20" s="79">
        <f t="shared" si="0"/>
        <v>17</v>
      </c>
      <c r="G20" s="51">
        <f>AVERAGE(B20:F20)</f>
        <v>16.600000000000001</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12.714285714285714</v>
      </c>
      <c r="C24" s="54">
        <f>C7/C18</f>
        <v>11.333333333333334</v>
      </c>
      <c r="D24" s="54">
        <f>D7/D18</f>
        <v>9.4375</v>
      </c>
      <c r="E24" s="54">
        <f>E7/E18</f>
        <v>6.708333333333333</v>
      </c>
      <c r="F24" s="54">
        <f>F7/F18</f>
        <v>7.6470588235294121</v>
      </c>
      <c r="G24" s="45">
        <f>AVERAGE(B24:F24)</f>
        <v>9.5681022408963603</v>
      </c>
    </row>
    <row r="25" spans="1:8" ht="13.5" thickBot="1" x14ac:dyDescent="0.25">
      <c r="A25" s="55" t="s">
        <v>64</v>
      </c>
      <c r="B25" s="133"/>
      <c r="C25" s="133"/>
      <c r="D25" s="133"/>
      <c r="E25" s="133"/>
      <c r="F25" s="133"/>
      <c r="G25" s="120"/>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5006</v>
      </c>
      <c r="C29" s="61">
        <v>4613</v>
      </c>
      <c r="D29" s="61">
        <v>4659</v>
      </c>
      <c r="E29" s="61">
        <v>4704</v>
      </c>
      <c r="F29" s="61">
        <v>4146</v>
      </c>
      <c r="G29" s="62">
        <f>AVERAGE(B29:F29)</f>
        <v>4625.6000000000004</v>
      </c>
    </row>
    <row r="30" spans="1:8" x14ac:dyDescent="0.2">
      <c r="A30" s="60" t="s">
        <v>8</v>
      </c>
      <c r="B30" s="61">
        <v>50</v>
      </c>
      <c r="C30" s="61">
        <v>39</v>
      </c>
      <c r="D30" s="61">
        <v>47</v>
      </c>
      <c r="E30" s="61">
        <v>51</v>
      </c>
      <c r="F30" s="61">
        <v>70</v>
      </c>
      <c r="G30" s="62">
        <f>AVERAGE(B30:F30)</f>
        <v>51.4</v>
      </c>
    </row>
    <row r="31" spans="1:8" ht="13.5" thickBot="1" x14ac:dyDescent="0.25">
      <c r="A31" s="22" t="s">
        <v>4</v>
      </c>
      <c r="B31" s="23">
        <f>SUM(B29:B30)</f>
        <v>5056</v>
      </c>
      <c r="C31" s="23">
        <f>SUM(C29:C30)</f>
        <v>4652</v>
      </c>
      <c r="D31" s="23">
        <f>SUM(D29:D30)</f>
        <v>4706</v>
      </c>
      <c r="E31" s="23">
        <f>SUM(E29:E30)</f>
        <v>4755</v>
      </c>
      <c r="F31" s="23">
        <f>SUM(F29:F30)</f>
        <v>4216</v>
      </c>
      <c r="G31" s="24">
        <f>AVERAGE(B31:F31)</f>
        <v>4677</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17.8</v>
      </c>
      <c r="C35" s="32">
        <v>17.600000000000001</v>
      </c>
      <c r="D35" s="63">
        <v>18.7</v>
      </c>
      <c r="E35" s="63">
        <v>18.8</v>
      </c>
      <c r="F35" s="63">
        <v>18.100000000000001</v>
      </c>
      <c r="G35" s="45">
        <f>AVERAGE(B35:F35)</f>
        <v>18.2</v>
      </c>
    </row>
    <row r="36" spans="1:8" ht="13.5" thickBot="1" x14ac:dyDescent="0.25">
      <c r="A36" s="64" t="s">
        <v>8</v>
      </c>
      <c r="B36" s="133"/>
      <c r="C36" s="133"/>
      <c r="D36" s="133"/>
      <c r="E36" s="65">
        <v>8</v>
      </c>
      <c r="F36" s="133"/>
      <c r="G36" s="57">
        <f>AVERAGE(B36:F36)</f>
        <v>8</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12</v>
      </c>
      <c r="C40" s="32">
        <v>12</v>
      </c>
      <c r="D40" s="32">
        <v>13</v>
      </c>
      <c r="E40" s="32">
        <v>13</v>
      </c>
      <c r="F40" s="32">
        <v>14</v>
      </c>
      <c r="G40" s="45">
        <f>AVERAGE(B40:F40)</f>
        <v>12.8</v>
      </c>
    </row>
    <row r="41" spans="1:8" x14ac:dyDescent="0.2">
      <c r="A41" s="60" t="s">
        <v>3</v>
      </c>
      <c r="B41" s="32">
        <v>16</v>
      </c>
      <c r="C41" s="32">
        <v>11</v>
      </c>
      <c r="D41" s="32">
        <v>8</v>
      </c>
      <c r="E41" s="32">
        <v>10</v>
      </c>
      <c r="F41" s="32">
        <v>10</v>
      </c>
      <c r="G41" s="45">
        <f>AVERAGE(B41:F41)</f>
        <v>11</v>
      </c>
    </row>
    <row r="42" spans="1:8" x14ac:dyDescent="0.2">
      <c r="A42" s="13" t="s">
        <v>4</v>
      </c>
      <c r="B42" s="14">
        <f>SUM(B40:B41)</f>
        <v>28</v>
      </c>
      <c r="C42" s="14">
        <f>SUM(C40:C41)</f>
        <v>23</v>
      </c>
      <c r="D42" s="14">
        <f>SUM(D40:D41)</f>
        <v>21</v>
      </c>
      <c r="E42" s="14">
        <f>SUM(E40:E41)</f>
        <v>23</v>
      </c>
      <c r="F42" s="14">
        <f>SUM(F40:F41)</f>
        <v>24</v>
      </c>
      <c r="G42" s="17">
        <f>AVERAGE(B42:F42)</f>
        <v>23.8</v>
      </c>
    </row>
    <row r="43" spans="1:8" ht="13.5" thickBot="1" x14ac:dyDescent="0.25">
      <c r="A43" s="39" t="s">
        <v>49</v>
      </c>
      <c r="B43" s="40">
        <f>B40+(B41/3)</f>
        <v>17.333333333333332</v>
      </c>
      <c r="C43" s="40">
        <f>C40+(C41/3)</f>
        <v>15.666666666666666</v>
      </c>
      <c r="D43" s="40">
        <f>D40+(D41/3)</f>
        <v>15.666666666666666</v>
      </c>
      <c r="E43" s="40">
        <f>E40+(E41/3)</f>
        <v>16.333333333333332</v>
      </c>
      <c r="F43" s="40">
        <f>F40+(F41/3)</f>
        <v>17.333333333333332</v>
      </c>
      <c r="G43" s="67">
        <f>AVERAGE(B43:F43)</f>
        <v>16.466666666666665</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s="85" customFormat="1" ht="13.5" thickBot="1" x14ac:dyDescent="0.25">
      <c r="A47" s="81" t="s">
        <v>6</v>
      </c>
      <c r="B47" s="82">
        <f>(B8+B14)/B43</f>
        <v>9.0769230769230784</v>
      </c>
      <c r="C47" s="83">
        <f>(C8+C14)/C43</f>
        <v>8.1702127659574479</v>
      </c>
      <c r="D47" s="83">
        <f>(D8+D14)/D43</f>
        <v>8.9574468085106389</v>
      </c>
      <c r="E47" s="83">
        <f>(E8+E14)/E43</f>
        <v>9.1224489795918373</v>
      </c>
      <c r="F47" s="83">
        <f>(F8+F14)/F43</f>
        <v>6.9230769230769234</v>
      </c>
      <c r="G47" s="84">
        <f>AVERAGE(B47:F47)</f>
        <v>8.4500217108119848</v>
      </c>
      <c r="H47" s="3"/>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s="85" customFormat="1" ht="13.5" thickBot="1" x14ac:dyDescent="0.25">
      <c r="A51" s="81" t="s">
        <v>10</v>
      </c>
      <c r="B51" s="82">
        <f>B31/B43</f>
        <v>291.69230769230774</v>
      </c>
      <c r="C51" s="83">
        <f>C31/C43</f>
        <v>296.93617021276594</v>
      </c>
      <c r="D51" s="83">
        <f>D31/D43</f>
        <v>300.38297872340428</v>
      </c>
      <c r="E51" s="83">
        <f>E31/E43</f>
        <v>291.12244897959187</v>
      </c>
      <c r="F51" s="83">
        <f>F31/F43</f>
        <v>243.23076923076925</v>
      </c>
      <c r="G51" s="84">
        <f>AVERAGE(B51:F51)</f>
        <v>284.67293496776779</v>
      </c>
      <c r="H51" s="3"/>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s="85" customFormat="1" ht="13.5" thickBot="1" x14ac:dyDescent="0.25">
      <c r="A55" s="81" t="s">
        <v>11</v>
      </c>
      <c r="B55" s="139">
        <v>1039044</v>
      </c>
      <c r="C55" s="139">
        <f>1211623.71+18761.28</f>
        <v>1230384.99</v>
      </c>
      <c r="D55" s="86">
        <f>1297806.72+14096.12+7899</f>
        <v>1319801.8400000001</v>
      </c>
      <c r="E55" s="139">
        <v>1392835</v>
      </c>
      <c r="F55" s="86">
        <v>1497860</v>
      </c>
      <c r="G55" s="87">
        <f>AVERAGE(B55:F55)</f>
        <v>1295985.166</v>
      </c>
      <c r="H55" s="3"/>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53"/>
      <c r="B58" s="135" t="s">
        <v>53</v>
      </c>
      <c r="C58" s="135" t="s">
        <v>55</v>
      </c>
      <c r="D58" s="135" t="s">
        <v>59</v>
      </c>
      <c r="E58" s="135" t="s">
        <v>60</v>
      </c>
      <c r="F58" s="135" t="s">
        <v>67</v>
      </c>
      <c r="G58" s="136" t="s">
        <v>1</v>
      </c>
    </row>
    <row r="59" spans="1:8" ht="13.5" thickBot="1" x14ac:dyDescent="0.25">
      <c r="A59" s="55" t="s">
        <v>12</v>
      </c>
      <c r="B59" s="137">
        <f>B55/B31</f>
        <v>205.50712025316454</v>
      </c>
      <c r="C59" s="137">
        <f t="shared" ref="C59:F59" si="1">C55/C31</f>
        <v>264.48516552020635</v>
      </c>
      <c r="D59" s="137">
        <f t="shared" si="1"/>
        <v>280.45087972800684</v>
      </c>
      <c r="E59" s="137">
        <f t="shared" si="1"/>
        <v>292.92008412197686</v>
      </c>
      <c r="F59" s="137">
        <f t="shared" si="1"/>
        <v>355.27988614800756</v>
      </c>
      <c r="G59" s="138">
        <f>AVERAGE(B59:F59)</f>
        <v>279.72862715427243</v>
      </c>
    </row>
    <row r="60" spans="1:8" ht="13.5" thickBot="1" x14ac:dyDescent="0.25"/>
    <row r="61" spans="1:8" x14ac:dyDescent="0.2">
      <c r="A61" s="18" t="s">
        <v>74</v>
      </c>
      <c r="B61" s="19"/>
      <c r="C61" s="19"/>
      <c r="D61" s="19"/>
      <c r="E61" s="19"/>
      <c r="F61" s="19"/>
      <c r="G61" s="20"/>
    </row>
    <row r="62" spans="1:8" x14ac:dyDescent="0.2">
      <c r="A62" s="53"/>
      <c r="B62" s="135" t="s">
        <v>53</v>
      </c>
      <c r="C62" s="135" t="s">
        <v>55</v>
      </c>
      <c r="D62" s="135" t="s">
        <v>59</v>
      </c>
      <c r="E62" s="135" t="s">
        <v>60</v>
      </c>
      <c r="F62" s="135" t="s">
        <v>67</v>
      </c>
      <c r="G62" s="136" t="s">
        <v>1</v>
      </c>
    </row>
    <row r="63" spans="1:8" ht="13.5" thickBot="1" x14ac:dyDescent="0.25">
      <c r="A63" s="55" t="s">
        <v>12</v>
      </c>
      <c r="B63" s="137">
        <f>B55/B43</f>
        <v>59944.846153846156</v>
      </c>
      <c r="C63" s="137">
        <f t="shared" ref="C63:F63" si="2">C55/C43</f>
        <v>78535.212127659572</v>
      </c>
      <c r="D63" s="137">
        <f t="shared" si="2"/>
        <v>84242.670638297874</v>
      </c>
      <c r="E63" s="137">
        <f t="shared" si="2"/>
        <v>85275.612244897959</v>
      </c>
      <c r="F63" s="137">
        <f t="shared" si="2"/>
        <v>86415</v>
      </c>
      <c r="G63" s="138">
        <f>AVERAGE(B63:F63)</f>
        <v>78882.668232940297</v>
      </c>
    </row>
    <row r="65" spans="1:8" x14ac:dyDescent="0.2">
      <c r="A65" s="88"/>
      <c r="B65" s="88"/>
      <c r="C65" s="88"/>
      <c r="D65" s="88"/>
      <c r="E65" s="88"/>
      <c r="F65" s="88"/>
      <c r="G65" s="88"/>
      <c r="H65" s="88"/>
    </row>
    <row r="67" spans="1:8" x14ac:dyDescent="0.2">
      <c r="A67" s="89"/>
      <c r="B67" s="89"/>
      <c r="C67" s="89"/>
      <c r="D67" s="89"/>
      <c r="E67" s="89"/>
      <c r="F67" s="89"/>
      <c r="G67" s="89"/>
      <c r="H67" s="89"/>
    </row>
    <row r="68" spans="1:8" x14ac:dyDescent="0.2">
      <c r="A68" s="89"/>
      <c r="B68" s="89"/>
      <c r="C68" s="89"/>
      <c r="D68" s="89"/>
      <c r="E68" s="89"/>
      <c r="F68" s="89"/>
      <c r="G68" s="89"/>
      <c r="H68" s="89"/>
    </row>
  </sheetData>
  <phoneticPr fontId="2" type="noConversion"/>
  <printOptions horizontalCentered="1" verticalCentered="1"/>
  <pageMargins left="0.75" right="0.75" top="0.5" bottom="0.55000000000000004" header="0.5" footer="0.2"/>
  <pageSetup scale="95"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32</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34</v>
      </c>
      <c r="C5" s="33">
        <v>37</v>
      </c>
      <c r="D5" s="32">
        <v>39</v>
      </c>
      <c r="E5" s="32">
        <v>31</v>
      </c>
      <c r="F5" s="32">
        <v>26</v>
      </c>
      <c r="G5" s="34">
        <f>AVERAGE(B5:F5)</f>
        <v>33.4</v>
      </c>
    </row>
    <row r="6" spans="1:8" x14ac:dyDescent="0.2">
      <c r="A6" s="31" t="s">
        <v>3</v>
      </c>
      <c r="B6" s="32">
        <v>5</v>
      </c>
      <c r="C6" s="33">
        <v>11</v>
      </c>
      <c r="D6" s="32">
        <v>4</v>
      </c>
      <c r="E6" s="32">
        <v>8</v>
      </c>
      <c r="F6" s="32">
        <v>10</v>
      </c>
      <c r="G6" s="34">
        <f>AVERAGE(B6:F6)</f>
        <v>7.6</v>
      </c>
    </row>
    <row r="7" spans="1:8" x14ac:dyDescent="0.2">
      <c r="A7" s="13" t="s">
        <v>4</v>
      </c>
      <c r="B7" s="14">
        <f>SUM(B5:B6)</f>
        <v>39</v>
      </c>
      <c r="C7" s="14">
        <f>SUM(C5:C6)</f>
        <v>48</v>
      </c>
      <c r="D7" s="14">
        <f>SUM(D5:D6)</f>
        <v>43</v>
      </c>
      <c r="E7" s="15">
        <f>SUM(E5:E6)</f>
        <v>39</v>
      </c>
      <c r="F7" s="15">
        <f>SUM(F5:F6)</f>
        <v>36</v>
      </c>
      <c r="G7" s="17">
        <f>AVERAGE(B7:F7)</f>
        <v>41</v>
      </c>
    </row>
    <row r="8" spans="1:8" ht="13.5" thickBot="1" x14ac:dyDescent="0.25">
      <c r="A8" s="35" t="s">
        <v>48</v>
      </c>
      <c r="B8" s="36">
        <f>B5+(B6/3)</f>
        <v>35.666666666666664</v>
      </c>
      <c r="C8" s="36">
        <f>C5+(C6/3)</f>
        <v>40.666666666666664</v>
      </c>
      <c r="D8" s="36">
        <f>D5+(D6/3)</f>
        <v>40.333333333333336</v>
      </c>
      <c r="E8" s="37">
        <f>E5+(E6/3)</f>
        <v>33.666666666666664</v>
      </c>
      <c r="F8" s="37">
        <f>F5+(F6/3)</f>
        <v>29.333333333333332</v>
      </c>
      <c r="G8" s="38">
        <f>AVERAGE(B8:F8)</f>
        <v>35.93333333333333</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29"/>
      <c r="C14" s="129"/>
      <c r="D14" s="129"/>
      <c r="E14" s="130"/>
      <c r="F14" s="129"/>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4</v>
      </c>
      <c r="C18" s="32">
        <v>3</v>
      </c>
      <c r="D18" s="32">
        <v>2</v>
      </c>
      <c r="E18" s="32">
        <v>5</v>
      </c>
      <c r="F18" s="32">
        <v>6</v>
      </c>
      <c r="G18" s="45">
        <f>AVERAGE(B18:F18)</f>
        <v>4</v>
      </c>
    </row>
    <row r="19" spans="1:8" x14ac:dyDescent="0.2">
      <c r="A19" s="46" t="s">
        <v>63</v>
      </c>
      <c r="B19" s="117"/>
      <c r="C19" s="117"/>
      <c r="D19" s="117"/>
      <c r="E19" s="117"/>
      <c r="F19" s="117"/>
      <c r="G19" s="118"/>
    </row>
    <row r="20" spans="1:8" ht="13.5" thickBot="1" x14ac:dyDescent="0.25">
      <c r="A20" s="49" t="s">
        <v>4</v>
      </c>
      <c r="B20" s="79">
        <f>B19+B18</f>
        <v>4</v>
      </c>
      <c r="C20" s="79">
        <f t="shared" ref="C20:F20" si="0">C19+C18</f>
        <v>3</v>
      </c>
      <c r="D20" s="79">
        <f t="shared" si="0"/>
        <v>2</v>
      </c>
      <c r="E20" s="79">
        <f t="shared" si="0"/>
        <v>5</v>
      </c>
      <c r="F20" s="79">
        <f t="shared" si="0"/>
        <v>6</v>
      </c>
      <c r="G20" s="51">
        <f>AVERAGE(B20:F20)</f>
        <v>4</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9.75</v>
      </c>
      <c r="C24" s="54">
        <f>C7/C18</f>
        <v>16</v>
      </c>
      <c r="D24" s="54">
        <f>D7/D18</f>
        <v>21.5</v>
      </c>
      <c r="E24" s="54">
        <f>E7/E18</f>
        <v>7.8</v>
      </c>
      <c r="F24" s="54">
        <f>F7/F18</f>
        <v>6</v>
      </c>
      <c r="G24" s="45">
        <f>AVERAGE(B24:F24)</f>
        <v>12.209999999999999</v>
      </c>
    </row>
    <row r="25" spans="1:8" ht="13.5" thickBot="1" x14ac:dyDescent="0.25">
      <c r="A25" s="55" t="s">
        <v>64</v>
      </c>
      <c r="B25" s="133"/>
      <c r="C25" s="133"/>
      <c r="D25" s="133"/>
      <c r="E25" s="133"/>
      <c r="F25" s="133"/>
      <c r="G25" s="120"/>
    </row>
    <row r="26" spans="1:8" ht="9.9499999999999993" customHeight="1" thickBot="1" x14ac:dyDescent="0.25">
      <c r="A26" s="58"/>
      <c r="B26" s="58"/>
      <c r="C26" s="58"/>
      <c r="D26" s="58"/>
      <c r="E26" s="58"/>
      <c r="F26" s="58"/>
      <c r="G26" s="58"/>
      <c r="H26" s="58"/>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3518</v>
      </c>
      <c r="C29" s="61">
        <v>3253</v>
      </c>
      <c r="D29" s="61">
        <v>3314</v>
      </c>
      <c r="E29" s="61">
        <v>3060</v>
      </c>
      <c r="F29" s="61">
        <v>2752</v>
      </c>
      <c r="G29" s="62">
        <f>AVERAGE(B29:F29)</f>
        <v>3179.4</v>
      </c>
    </row>
    <row r="30" spans="1:8" x14ac:dyDescent="0.2">
      <c r="A30" s="60" t="s">
        <v>8</v>
      </c>
      <c r="B30" s="61">
        <v>36</v>
      </c>
      <c r="C30" s="61">
        <v>48</v>
      </c>
      <c r="D30" s="61">
        <v>57</v>
      </c>
      <c r="E30" s="61">
        <v>75</v>
      </c>
      <c r="F30" s="61">
        <v>81</v>
      </c>
      <c r="G30" s="62">
        <f>AVERAGE(B30:F30)</f>
        <v>59.4</v>
      </c>
    </row>
    <row r="31" spans="1:8" ht="13.5" thickBot="1" x14ac:dyDescent="0.25">
      <c r="A31" s="22" t="s">
        <v>4</v>
      </c>
      <c r="B31" s="23">
        <f>SUM(B29:B30)</f>
        <v>3554</v>
      </c>
      <c r="C31" s="23">
        <f>SUM(C29:C30)</f>
        <v>3301</v>
      </c>
      <c r="D31" s="23">
        <f>SUM(D29:D30)</f>
        <v>3371</v>
      </c>
      <c r="E31" s="23">
        <f>SUM(E29:E30)</f>
        <v>3135</v>
      </c>
      <c r="F31" s="23">
        <f>SUM(F29:F30)</f>
        <v>2833</v>
      </c>
      <c r="G31" s="24">
        <f>AVERAGE(B31:F31)</f>
        <v>3238.8</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20.9</v>
      </c>
      <c r="C35" s="32">
        <v>18.3</v>
      </c>
      <c r="D35" s="63">
        <v>18.2</v>
      </c>
      <c r="E35" s="63">
        <v>16.100000000000001</v>
      </c>
      <c r="F35" s="63">
        <v>16.899999999999999</v>
      </c>
      <c r="G35" s="45">
        <f>AVERAGE(B35:F35)</f>
        <v>18.080000000000002</v>
      </c>
    </row>
    <row r="36" spans="1:8" ht="13.5" thickBot="1" x14ac:dyDescent="0.25">
      <c r="A36" s="64" t="s">
        <v>8</v>
      </c>
      <c r="B36" s="65">
        <v>9</v>
      </c>
      <c r="C36" s="65">
        <v>8</v>
      </c>
      <c r="D36" s="65">
        <v>11</v>
      </c>
      <c r="E36" s="65">
        <v>15</v>
      </c>
      <c r="F36" s="65">
        <v>14</v>
      </c>
      <c r="G36" s="57">
        <f>AVERAGE(B36:F36)</f>
        <v>11.4</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7</v>
      </c>
      <c r="C40" s="32">
        <v>8</v>
      </c>
      <c r="D40" s="32">
        <v>7</v>
      </c>
      <c r="E40" s="32">
        <v>7</v>
      </c>
      <c r="F40" s="32">
        <v>7</v>
      </c>
      <c r="G40" s="45">
        <f>AVERAGE(B40:F40)</f>
        <v>7.2</v>
      </c>
    </row>
    <row r="41" spans="1:8" x14ac:dyDescent="0.2">
      <c r="A41" s="60" t="s">
        <v>3</v>
      </c>
      <c r="B41" s="32">
        <v>1</v>
      </c>
      <c r="C41" s="32">
        <v>0</v>
      </c>
      <c r="D41" s="32">
        <v>0</v>
      </c>
      <c r="E41" s="32">
        <v>0</v>
      </c>
      <c r="F41" s="32">
        <v>1</v>
      </c>
      <c r="G41" s="45">
        <f>AVERAGE(B41:F41)</f>
        <v>0.4</v>
      </c>
    </row>
    <row r="42" spans="1:8" x14ac:dyDescent="0.2">
      <c r="A42" s="13" t="s">
        <v>4</v>
      </c>
      <c r="B42" s="14">
        <f>SUM(B40:B41)</f>
        <v>8</v>
      </c>
      <c r="C42" s="14">
        <f>SUM(C40:C41)</f>
        <v>8</v>
      </c>
      <c r="D42" s="14">
        <f>SUM(D40:D41)</f>
        <v>7</v>
      </c>
      <c r="E42" s="14">
        <f>SUM(E40:E41)</f>
        <v>7</v>
      </c>
      <c r="F42" s="14">
        <f>SUM(F40:F41)</f>
        <v>8</v>
      </c>
      <c r="G42" s="17">
        <f>AVERAGE(B42:F42)</f>
        <v>7.6</v>
      </c>
    </row>
    <row r="43" spans="1:8" ht="13.5" thickBot="1" x14ac:dyDescent="0.25">
      <c r="A43" s="39" t="s">
        <v>49</v>
      </c>
      <c r="B43" s="40">
        <f>B40+(B41/3)</f>
        <v>7.333333333333333</v>
      </c>
      <c r="C43" s="40">
        <f>C40+(C41/3)</f>
        <v>8</v>
      </c>
      <c r="D43" s="40">
        <f>D40+(D41/3)</f>
        <v>7</v>
      </c>
      <c r="E43" s="40">
        <f>E40+(E41/3)</f>
        <v>7</v>
      </c>
      <c r="F43" s="40">
        <f>F40+(F41/3)</f>
        <v>7.333333333333333</v>
      </c>
      <c r="G43" s="67">
        <f>AVERAGE(B43:F43)</f>
        <v>7.333333333333333</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4.8636363636363633</v>
      </c>
      <c r="C47" s="56">
        <f>(C8+C14)/C43</f>
        <v>5.083333333333333</v>
      </c>
      <c r="D47" s="56">
        <f>(D8+D14)/D43</f>
        <v>5.7619047619047619</v>
      </c>
      <c r="E47" s="56">
        <f>(E8+E14)/E43</f>
        <v>4.8095238095238093</v>
      </c>
      <c r="F47" s="56">
        <f>(F8+F14)/F43</f>
        <v>4</v>
      </c>
      <c r="G47" s="57">
        <f>AVERAGE(B47:F47)</f>
        <v>4.9036796536796539</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484.63636363636368</v>
      </c>
      <c r="C51" s="56">
        <f>C31/C43</f>
        <v>412.625</v>
      </c>
      <c r="D51" s="56">
        <f>D31/D43</f>
        <v>481.57142857142856</v>
      </c>
      <c r="E51" s="56">
        <f>E31/E43</f>
        <v>447.85714285714283</v>
      </c>
      <c r="F51" s="56">
        <f>F31/F43</f>
        <v>386.31818181818181</v>
      </c>
      <c r="G51" s="57">
        <f>AVERAGE(B51:F51)</f>
        <v>442.60162337662342</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576627</v>
      </c>
      <c r="C55" s="73">
        <f>644154.7+32354.52</f>
        <v>676509.22</v>
      </c>
      <c r="D55" s="73">
        <f>659396.77+5465.83</f>
        <v>664862.6</v>
      </c>
      <c r="E55" s="73">
        <v>743373</v>
      </c>
      <c r="F55" s="73">
        <v>725203</v>
      </c>
      <c r="G55" s="74">
        <f>AVERAGE(B55:F55)</f>
        <v>677314.96399999992</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162.24732695554306</v>
      </c>
      <c r="C59" s="76">
        <f>C55/C31</f>
        <v>204.94069069978792</v>
      </c>
      <c r="D59" s="76">
        <f>D55/D31</f>
        <v>197.2300800949273</v>
      </c>
      <c r="E59" s="76">
        <f>E55/E31</f>
        <v>237.12057416267942</v>
      </c>
      <c r="F59" s="76">
        <f>F55/F31</f>
        <v>255.98411577832687</v>
      </c>
      <c r="G59" s="74">
        <f>AVERAGE(B59:F59)</f>
        <v>211.5045575382529</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78630.954545454544</v>
      </c>
      <c r="C63" s="75">
        <f t="shared" ref="C63:D63" si="1">C55/C43</f>
        <v>84563.652499999997</v>
      </c>
      <c r="D63" s="75">
        <f t="shared" si="1"/>
        <v>94980.371428571423</v>
      </c>
      <c r="E63" s="75">
        <f>E55/E43</f>
        <v>106196.14285714286</v>
      </c>
      <c r="F63" s="75">
        <f>F55/F43</f>
        <v>98891.318181818191</v>
      </c>
      <c r="G63" s="74">
        <f>AVERAGE(B63:F63)</f>
        <v>92652.487902597393</v>
      </c>
    </row>
  </sheetData>
  <phoneticPr fontId="2" type="noConversion"/>
  <printOptions horizontalCentered="1" verticalCentered="1"/>
  <pageMargins left="0.75" right="0.75" top="0.5" bottom="0.55000000000000004" header="0.5" footer="0.2"/>
  <pageSetup scale="95"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18</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164</v>
      </c>
      <c r="C5" s="33">
        <v>158</v>
      </c>
      <c r="D5" s="32">
        <v>151</v>
      </c>
      <c r="E5" s="32">
        <v>125</v>
      </c>
      <c r="F5" s="32">
        <v>123</v>
      </c>
      <c r="G5" s="34">
        <f>AVERAGE(B5:F5)</f>
        <v>144.19999999999999</v>
      </c>
    </row>
    <row r="6" spans="1:8" x14ac:dyDescent="0.2">
      <c r="A6" s="31" t="s">
        <v>3</v>
      </c>
      <c r="B6" s="32">
        <v>31</v>
      </c>
      <c r="C6" s="33">
        <v>33</v>
      </c>
      <c r="D6" s="32">
        <v>30</v>
      </c>
      <c r="E6" s="32">
        <v>35</v>
      </c>
      <c r="F6" s="32">
        <v>24</v>
      </c>
      <c r="G6" s="34">
        <f>AVERAGE(B6:F6)</f>
        <v>30.6</v>
      </c>
    </row>
    <row r="7" spans="1:8" x14ac:dyDescent="0.2">
      <c r="A7" s="13" t="s">
        <v>4</v>
      </c>
      <c r="B7" s="14">
        <f>SUM(B5:B6)</f>
        <v>195</v>
      </c>
      <c r="C7" s="14">
        <f>SUM(C5:C6)</f>
        <v>191</v>
      </c>
      <c r="D7" s="14">
        <f>SUM(D5:D6)</f>
        <v>181</v>
      </c>
      <c r="E7" s="15">
        <f>SUM(E5:E6)</f>
        <v>160</v>
      </c>
      <c r="F7" s="15">
        <f>SUM(F5:F6)</f>
        <v>147</v>
      </c>
      <c r="G7" s="17">
        <f>AVERAGE(B7:F7)</f>
        <v>174.8</v>
      </c>
    </row>
    <row r="8" spans="1:8" ht="13.5" thickBot="1" x14ac:dyDescent="0.25">
      <c r="A8" s="35" t="s">
        <v>48</v>
      </c>
      <c r="B8" s="36">
        <f>B5+(B6/3)</f>
        <v>174.33333333333334</v>
      </c>
      <c r="C8" s="36">
        <f>C5+(C6/3)</f>
        <v>169</v>
      </c>
      <c r="D8" s="36">
        <f>D5+(D6/3)</f>
        <v>161</v>
      </c>
      <c r="E8" s="37">
        <f>E5+(E6/3)</f>
        <v>136.66666666666666</v>
      </c>
      <c r="F8" s="37">
        <f>F5+(F6/3)</f>
        <v>131</v>
      </c>
      <c r="G8" s="38">
        <f>AVERAGE(B8:F8)</f>
        <v>154.4</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29"/>
      <c r="C14" s="129"/>
      <c r="D14" s="129"/>
      <c r="E14" s="130"/>
      <c r="F14" s="129"/>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30</v>
      </c>
      <c r="C18" s="32">
        <v>24</v>
      </c>
      <c r="D18" s="32">
        <v>27</v>
      </c>
      <c r="E18" s="32">
        <v>26</v>
      </c>
      <c r="F18" s="32">
        <v>16</v>
      </c>
      <c r="G18" s="45">
        <f>AVERAGE(B18:F18)</f>
        <v>24.6</v>
      </c>
    </row>
    <row r="19" spans="1:8" x14ac:dyDescent="0.2">
      <c r="A19" s="46" t="s">
        <v>63</v>
      </c>
      <c r="B19" s="117"/>
      <c r="C19" s="117"/>
      <c r="D19" s="117"/>
      <c r="E19" s="117"/>
      <c r="F19" s="117"/>
      <c r="G19" s="118"/>
    </row>
    <row r="20" spans="1:8" ht="13.5" thickBot="1" x14ac:dyDescent="0.25">
      <c r="A20" s="49" t="s">
        <v>4</v>
      </c>
      <c r="B20" s="79">
        <f>B19+B18</f>
        <v>30</v>
      </c>
      <c r="C20" s="79">
        <f t="shared" ref="C20:F20" si="0">C19+C18</f>
        <v>24</v>
      </c>
      <c r="D20" s="79">
        <f t="shared" si="0"/>
        <v>27</v>
      </c>
      <c r="E20" s="79">
        <f t="shared" si="0"/>
        <v>26</v>
      </c>
      <c r="F20" s="79">
        <f t="shared" si="0"/>
        <v>16</v>
      </c>
      <c r="G20" s="51">
        <f>AVERAGE(B20:F20)</f>
        <v>24.6</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6.5</v>
      </c>
      <c r="C24" s="54">
        <f>C7/C18</f>
        <v>7.958333333333333</v>
      </c>
      <c r="D24" s="54">
        <f>D7/D18</f>
        <v>6.7037037037037033</v>
      </c>
      <c r="E24" s="54">
        <f>E7/E18</f>
        <v>6.1538461538461542</v>
      </c>
      <c r="F24" s="54">
        <f>F7/F18</f>
        <v>9.1875</v>
      </c>
      <c r="G24" s="45">
        <f>AVERAGE(B24:F24)</f>
        <v>7.300676638176637</v>
      </c>
    </row>
    <row r="25" spans="1:8" ht="13.5" thickBot="1" x14ac:dyDescent="0.25">
      <c r="A25" s="55" t="s">
        <v>64</v>
      </c>
      <c r="B25" s="133"/>
      <c r="C25" s="133"/>
      <c r="D25" s="133"/>
      <c r="E25" s="133"/>
      <c r="F25" s="133"/>
      <c r="G25" s="120"/>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4059</v>
      </c>
      <c r="C29" s="61">
        <v>4178</v>
      </c>
      <c r="D29" s="61">
        <v>4160</v>
      </c>
      <c r="E29" s="61">
        <v>3870</v>
      </c>
      <c r="F29" s="61">
        <v>3623</v>
      </c>
      <c r="G29" s="62">
        <f>AVERAGE(B29:F29)</f>
        <v>3978</v>
      </c>
    </row>
    <row r="30" spans="1:8" x14ac:dyDescent="0.2">
      <c r="A30" s="60" t="s">
        <v>8</v>
      </c>
      <c r="B30" s="111"/>
      <c r="C30" s="111"/>
      <c r="D30" s="111"/>
      <c r="E30" s="111"/>
      <c r="F30" s="111"/>
      <c r="G30" s="112"/>
    </row>
    <row r="31" spans="1:8" ht="13.5" thickBot="1" x14ac:dyDescent="0.25">
      <c r="A31" s="22" t="s">
        <v>4</v>
      </c>
      <c r="B31" s="23">
        <f>SUM(B29:B30)</f>
        <v>4059</v>
      </c>
      <c r="C31" s="23">
        <f>SUM(C29:C30)</f>
        <v>4178</v>
      </c>
      <c r="D31" s="23">
        <f>SUM(D29:D30)</f>
        <v>4160</v>
      </c>
      <c r="E31" s="23">
        <f>SUM(E29:E30)</f>
        <v>3870</v>
      </c>
      <c r="F31" s="23">
        <f>SUM(F29:F30)</f>
        <v>3623</v>
      </c>
      <c r="G31" s="24">
        <f>AVERAGE(B31:F31)</f>
        <v>3978</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34.200000000000003</v>
      </c>
      <c r="C35" s="32">
        <v>30.7</v>
      </c>
      <c r="D35" s="63">
        <v>30</v>
      </c>
      <c r="E35" s="63">
        <v>26.9</v>
      </c>
      <c r="F35" s="63">
        <v>25.9</v>
      </c>
      <c r="G35" s="45">
        <f>AVERAGE(B35:F35)</f>
        <v>29.540000000000003</v>
      </c>
    </row>
    <row r="36" spans="1:8" ht="13.5" thickBot="1" x14ac:dyDescent="0.25">
      <c r="A36" s="64" t="s">
        <v>8</v>
      </c>
      <c r="B36" s="119"/>
      <c r="C36" s="119"/>
      <c r="D36" s="119"/>
      <c r="E36" s="119"/>
      <c r="F36" s="119"/>
      <c r="G36" s="120"/>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4</v>
      </c>
      <c r="C40" s="32">
        <v>4</v>
      </c>
      <c r="D40" s="32">
        <v>4</v>
      </c>
      <c r="E40" s="32">
        <v>4</v>
      </c>
      <c r="F40" s="32">
        <v>4</v>
      </c>
      <c r="G40" s="45">
        <f>AVERAGE(B40:F40)</f>
        <v>4</v>
      </c>
    </row>
    <row r="41" spans="1:8" x14ac:dyDescent="0.2">
      <c r="A41" s="60" t="s">
        <v>3</v>
      </c>
      <c r="B41" s="32">
        <v>2</v>
      </c>
      <c r="C41" s="32">
        <v>2</v>
      </c>
      <c r="D41" s="32">
        <v>3</v>
      </c>
      <c r="E41" s="32">
        <v>2</v>
      </c>
      <c r="F41" s="32">
        <v>4</v>
      </c>
      <c r="G41" s="45">
        <f>AVERAGE(B41:F41)</f>
        <v>2.6</v>
      </c>
    </row>
    <row r="42" spans="1:8" x14ac:dyDescent="0.2">
      <c r="A42" s="13" t="s">
        <v>4</v>
      </c>
      <c r="B42" s="14">
        <f>SUM(B40:B41)</f>
        <v>6</v>
      </c>
      <c r="C42" s="14">
        <f>SUM(C40:C41)</f>
        <v>6</v>
      </c>
      <c r="D42" s="14">
        <f>SUM(D40:D41)</f>
        <v>7</v>
      </c>
      <c r="E42" s="14">
        <f>SUM(E40:E41)</f>
        <v>6</v>
      </c>
      <c r="F42" s="14">
        <f>SUM(F40:F41)</f>
        <v>8</v>
      </c>
      <c r="G42" s="17">
        <f>AVERAGE(B42:F42)</f>
        <v>6.6</v>
      </c>
    </row>
    <row r="43" spans="1:8" ht="13.5" thickBot="1" x14ac:dyDescent="0.25">
      <c r="A43" s="39" t="s">
        <v>49</v>
      </c>
      <c r="B43" s="40">
        <f>B40+(B41/3)</f>
        <v>4.666666666666667</v>
      </c>
      <c r="C43" s="40">
        <f>C40+(C41/3)</f>
        <v>4.666666666666667</v>
      </c>
      <c r="D43" s="40">
        <f>D40+(D41/3)</f>
        <v>5</v>
      </c>
      <c r="E43" s="40">
        <f>E40+(E41/3)</f>
        <v>4.666666666666667</v>
      </c>
      <c r="F43" s="40">
        <f>F40+(F41/3)</f>
        <v>5.333333333333333</v>
      </c>
      <c r="G43" s="67">
        <f>AVERAGE(B43:F43)</f>
        <v>4.8666666666666663</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37.357142857142854</v>
      </c>
      <c r="C47" s="56">
        <f>(C8+C14)/C43</f>
        <v>36.214285714285715</v>
      </c>
      <c r="D47" s="56">
        <f>(D8+D14)/D43</f>
        <v>32.200000000000003</v>
      </c>
      <c r="E47" s="56">
        <f>(E8+E14)/E43</f>
        <v>29.285714285714281</v>
      </c>
      <c r="F47" s="56">
        <f>(F8+F14)/F43</f>
        <v>24.5625</v>
      </c>
      <c r="G47" s="57">
        <f>AVERAGE(B47:F47)</f>
        <v>31.923928571428569</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869.78571428571422</v>
      </c>
      <c r="C51" s="56">
        <f>C31/C43</f>
        <v>895.28571428571422</v>
      </c>
      <c r="D51" s="56">
        <f>D31/D43</f>
        <v>832</v>
      </c>
      <c r="E51" s="56">
        <f>E31/E43</f>
        <v>829.28571428571422</v>
      </c>
      <c r="F51" s="56">
        <f>F31/F43</f>
        <v>679.3125</v>
      </c>
      <c r="G51" s="57">
        <f>AVERAGE(B51:F51)</f>
        <v>821.13392857142867</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298799</v>
      </c>
      <c r="C55" s="73">
        <v>381696.02</v>
      </c>
      <c r="D55" s="73">
        <v>382209.48</v>
      </c>
      <c r="E55" s="73">
        <v>401696</v>
      </c>
      <c r="F55" s="73">
        <v>148053</v>
      </c>
      <c r="G55" s="74">
        <f>AVERAGE(B55:F55)</f>
        <v>322490.7</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73.6139443212614</v>
      </c>
      <c r="C59" s="76">
        <f>C55/C31</f>
        <v>91.358549545236954</v>
      </c>
      <c r="D59" s="76">
        <f>D55/D31</f>
        <v>91.877278846153843</v>
      </c>
      <c r="E59" s="76">
        <f>E55/E31</f>
        <v>103.79741602067183</v>
      </c>
      <c r="F59" s="76">
        <f>F55/F31</f>
        <v>40.864752967154296</v>
      </c>
      <c r="G59" s="74">
        <f>AVERAGE(B59:F59)</f>
        <v>80.302388340095675</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64028.357142857138</v>
      </c>
      <c r="C63" s="75">
        <f t="shared" ref="C63:F63" si="1">C55/C43</f>
        <v>81792.004285714283</v>
      </c>
      <c r="D63" s="75">
        <f t="shared" si="1"/>
        <v>76441.895999999993</v>
      </c>
      <c r="E63" s="75">
        <f t="shared" si="1"/>
        <v>86077.714285714275</v>
      </c>
      <c r="F63" s="75">
        <f t="shared" si="1"/>
        <v>27759.9375</v>
      </c>
      <c r="G63" s="74">
        <f>AVERAGE(B63:F63)</f>
        <v>67219.981842857131</v>
      </c>
    </row>
  </sheetData>
  <phoneticPr fontId="2" type="noConversion"/>
  <printOptions horizontalCentered="1" verticalCentered="1"/>
  <pageMargins left="0.75" right="0.75" top="0.5" bottom="0.55000000000000004" header="0.5" footer="0.2"/>
  <pageSetup scale="95"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186" t="s">
        <v>35</v>
      </c>
      <c r="C1" s="188"/>
      <c r="D1" s="188"/>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82</v>
      </c>
      <c r="C5" s="33">
        <v>80</v>
      </c>
      <c r="D5" s="32">
        <v>69</v>
      </c>
      <c r="E5" s="32">
        <v>61</v>
      </c>
      <c r="F5" s="32">
        <v>63</v>
      </c>
      <c r="G5" s="34">
        <f>AVERAGE(B5:F5)</f>
        <v>71</v>
      </c>
    </row>
    <row r="6" spans="1:8" x14ac:dyDescent="0.2">
      <c r="A6" s="31" t="s">
        <v>3</v>
      </c>
      <c r="B6" s="32">
        <v>23</v>
      </c>
      <c r="C6" s="33">
        <v>20</v>
      </c>
      <c r="D6" s="32">
        <v>36</v>
      </c>
      <c r="E6" s="32">
        <v>28</v>
      </c>
      <c r="F6" s="32">
        <v>35</v>
      </c>
      <c r="G6" s="34">
        <f>AVERAGE(B6:F6)</f>
        <v>28.4</v>
      </c>
    </row>
    <row r="7" spans="1:8" x14ac:dyDescent="0.2">
      <c r="A7" s="13" t="s">
        <v>4</v>
      </c>
      <c r="B7" s="14">
        <f>SUM(B5:B6)</f>
        <v>105</v>
      </c>
      <c r="C7" s="14">
        <f>SUM(C5:C6)</f>
        <v>100</v>
      </c>
      <c r="D7" s="14">
        <f>SUM(D5:D6)</f>
        <v>105</v>
      </c>
      <c r="E7" s="15">
        <f>SUM(E5:E6)</f>
        <v>89</v>
      </c>
      <c r="F7" s="15">
        <f>SUM(F5:F6)</f>
        <v>98</v>
      </c>
      <c r="G7" s="17">
        <f>AVERAGE(B7:F7)</f>
        <v>99.4</v>
      </c>
    </row>
    <row r="8" spans="1:8" ht="13.5" thickBot="1" x14ac:dyDescent="0.25">
      <c r="A8" s="35" t="s">
        <v>48</v>
      </c>
      <c r="B8" s="36">
        <f>B5+(B6/3)</f>
        <v>89.666666666666671</v>
      </c>
      <c r="C8" s="36">
        <f>C5+(C6/3)</f>
        <v>86.666666666666671</v>
      </c>
      <c r="D8" s="36">
        <f>D5+(D6/3)</f>
        <v>81</v>
      </c>
      <c r="E8" s="37">
        <f>E5+(E6/3)</f>
        <v>70.333333333333329</v>
      </c>
      <c r="F8" s="37">
        <f>F5+(F6/3)</f>
        <v>74.666666666666671</v>
      </c>
      <c r="G8" s="38">
        <f>AVERAGE(B8:F8)</f>
        <v>80.466666666666669</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123"/>
      <c r="C11" s="124"/>
      <c r="D11" s="123"/>
      <c r="E11" s="123"/>
      <c r="F11" s="32">
        <v>5</v>
      </c>
      <c r="G11" s="34">
        <f>AVERAGE(B11:F11)</f>
        <v>5</v>
      </c>
    </row>
    <row r="12" spans="1:8" x14ac:dyDescent="0.2">
      <c r="A12" s="31" t="s">
        <v>3</v>
      </c>
      <c r="B12" s="123"/>
      <c r="C12" s="124"/>
      <c r="D12" s="123"/>
      <c r="E12" s="123"/>
      <c r="F12" s="32">
        <v>1</v>
      </c>
      <c r="G12" s="34">
        <f t="shared" ref="G12:G14" si="0">AVERAGE(B12:F12)</f>
        <v>1</v>
      </c>
    </row>
    <row r="13" spans="1:8" x14ac:dyDescent="0.2">
      <c r="A13" s="13" t="s">
        <v>4</v>
      </c>
      <c r="B13" s="126"/>
      <c r="C13" s="126"/>
      <c r="D13" s="126"/>
      <c r="E13" s="127"/>
      <c r="F13" s="14">
        <f>SUM(F11:F12)</f>
        <v>6</v>
      </c>
      <c r="G13" s="16">
        <f t="shared" si="0"/>
        <v>6</v>
      </c>
    </row>
    <row r="14" spans="1:8" ht="13.5" thickBot="1" x14ac:dyDescent="0.25">
      <c r="A14" s="39" t="s">
        <v>48</v>
      </c>
      <c r="B14" s="129"/>
      <c r="C14" s="129"/>
      <c r="D14" s="129"/>
      <c r="E14" s="130"/>
      <c r="F14" s="40">
        <f>F11+(F12/3)</f>
        <v>5.333333333333333</v>
      </c>
      <c r="G14" s="42">
        <f t="shared" si="0"/>
        <v>5.333333333333333</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26</v>
      </c>
      <c r="C18" s="32">
        <v>18</v>
      </c>
      <c r="D18" s="32">
        <v>26</v>
      </c>
      <c r="E18" s="32">
        <v>15</v>
      </c>
      <c r="F18" s="32">
        <v>20</v>
      </c>
      <c r="G18" s="45">
        <f>AVERAGE(B18:F18)</f>
        <v>21</v>
      </c>
    </row>
    <row r="19" spans="1:8" x14ac:dyDescent="0.2">
      <c r="A19" s="46" t="s">
        <v>63</v>
      </c>
      <c r="B19" s="117"/>
      <c r="C19" s="117"/>
      <c r="D19" s="117"/>
      <c r="E19" s="117"/>
      <c r="F19" s="117"/>
      <c r="G19" s="118"/>
    </row>
    <row r="20" spans="1:8" ht="13.5" thickBot="1" x14ac:dyDescent="0.25">
      <c r="A20" s="49" t="s">
        <v>4</v>
      </c>
      <c r="B20" s="79">
        <f>B19+B18</f>
        <v>26</v>
      </c>
      <c r="C20" s="79">
        <f t="shared" ref="C20:F20" si="1">C19+C18</f>
        <v>18</v>
      </c>
      <c r="D20" s="79">
        <f t="shared" si="1"/>
        <v>26</v>
      </c>
      <c r="E20" s="79">
        <f t="shared" si="1"/>
        <v>15</v>
      </c>
      <c r="F20" s="79">
        <f t="shared" si="1"/>
        <v>20</v>
      </c>
      <c r="G20" s="51">
        <f>AVERAGE(B20:F20)</f>
        <v>21</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4.0384615384615383</v>
      </c>
      <c r="C24" s="54">
        <f>C7/C18</f>
        <v>5.5555555555555554</v>
      </c>
      <c r="D24" s="54">
        <f>D7/D18</f>
        <v>4.0384615384615383</v>
      </c>
      <c r="E24" s="54">
        <f>E7/E18</f>
        <v>5.9333333333333336</v>
      </c>
      <c r="F24" s="54">
        <f>F7/F18</f>
        <v>4.9000000000000004</v>
      </c>
      <c r="G24" s="45">
        <f>AVERAGE(B24:F24)</f>
        <v>4.8931623931623935</v>
      </c>
    </row>
    <row r="25" spans="1:8" ht="13.5" thickBot="1" x14ac:dyDescent="0.25">
      <c r="A25" s="55" t="s">
        <v>64</v>
      </c>
      <c r="B25" s="133"/>
      <c r="C25" s="133"/>
      <c r="D25" s="133"/>
      <c r="E25" s="133"/>
      <c r="F25" s="133"/>
      <c r="G25" s="120"/>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4435</v>
      </c>
      <c r="C29" s="61">
        <v>4509</v>
      </c>
      <c r="D29" s="61">
        <f>585+3834</f>
        <v>4419</v>
      </c>
      <c r="E29" s="61">
        <v>3849</v>
      </c>
      <c r="F29" s="61">
        <v>3617</v>
      </c>
      <c r="G29" s="62">
        <f>AVERAGE(B29:F29)</f>
        <v>4165.8</v>
      </c>
    </row>
    <row r="30" spans="1:8" x14ac:dyDescent="0.2">
      <c r="A30" s="60" t="s">
        <v>8</v>
      </c>
      <c r="B30" s="111"/>
      <c r="C30" s="111"/>
      <c r="D30" s="111"/>
      <c r="E30" s="111"/>
      <c r="F30" s="61">
        <v>105</v>
      </c>
      <c r="G30" s="62">
        <f>AVERAGE(B30:F30)</f>
        <v>105</v>
      </c>
    </row>
    <row r="31" spans="1:8" ht="13.5" thickBot="1" x14ac:dyDescent="0.25">
      <c r="A31" s="22" t="s">
        <v>4</v>
      </c>
      <c r="B31" s="23">
        <f>SUM(B29:B30)</f>
        <v>4435</v>
      </c>
      <c r="C31" s="23">
        <f>SUM(C29:C30)</f>
        <v>4509</v>
      </c>
      <c r="D31" s="23">
        <f>SUM(D29:D30)</f>
        <v>4419</v>
      </c>
      <c r="E31" s="23">
        <f>SUM(E29:E30)</f>
        <v>3849</v>
      </c>
      <c r="F31" s="23">
        <f>SUM(F29:F30)</f>
        <v>3722</v>
      </c>
      <c r="G31" s="24">
        <f>AVERAGE(B31:F31)</f>
        <v>4186.8</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80">
        <v>23</v>
      </c>
      <c r="C35" s="80">
        <v>24.5</v>
      </c>
      <c r="D35" s="63">
        <v>24.6</v>
      </c>
      <c r="E35" s="63">
        <v>23.3</v>
      </c>
      <c r="F35" s="63">
        <v>23.3</v>
      </c>
      <c r="G35" s="45">
        <f>AVERAGE(B35:F35)</f>
        <v>23.74</v>
      </c>
    </row>
    <row r="36" spans="1:8" ht="13.5" thickBot="1" x14ac:dyDescent="0.25">
      <c r="A36" s="64" t="s">
        <v>8</v>
      </c>
      <c r="B36" s="119"/>
      <c r="C36" s="119"/>
      <c r="D36" s="119"/>
      <c r="E36" s="119"/>
      <c r="F36" s="65">
        <v>7</v>
      </c>
      <c r="G36" s="57">
        <f>AVERAGE(B36:F36)</f>
        <v>7</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4</v>
      </c>
      <c r="C40" s="32">
        <v>5</v>
      </c>
      <c r="D40" s="32">
        <v>5</v>
      </c>
      <c r="E40" s="32">
        <v>6</v>
      </c>
      <c r="F40" s="32">
        <v>6</v>
      </c>
      <c r="G40" s="45">
        <f>AVERAGE(B40:F40)</f>
        <v>5.2</v>
      </c>
    </row>
    <row r="41" spans="1:8" x14ac:dyDescent="0.2">
      <c r="A41" s="60" t="s">
        <v>3</v>
      </c>
      <c r="B41" s="32">
        <v>3</v>
      </c>
      <c r="C41" s="32">
        <v>1</v>
      </c>
      <c r="D41" s="32">
        <v>2</v>
      </c>
      <c r="E41" s="32">
        <v>1</v>
      </c>
      <c r="F41" s="32">
        <v>3</v>
      </c>
      <c r="G41" s="45">
        <f>AVERAGE(B41:F41)</f>
        <v>2</v>
      </c>
    </row>
    <row r="42" spans="1:8" x14ac:dyDescent="0.2">
      <c r="A42" s="13" t="s">
        <v>4</v>
      </c>
      <c r="B42" s="14">
        <f>SUM(B40:B41)</f>
        <v>7</v>
      </c>
      <c r="C42" s="14">
        <f>SUM(C40:C41)</f>
        <v>6</v>
      </c>
      <c r="D42" s="14">
        <f>SUM(D40:D41)</f>
        <v>7</v>
      </c>
      <c r="E42" s="14">
        <f>SUM(E40:E41)</f>
        <v>7</v>
      </c>
      <c r="F42" s="14">
        <f>SUM(F40:F41)</f>
        <v>9</v>
      </c>
      <c r="G42" s="17">
        <f>AVERAGE(B42:F42)</f>
        <v>7.2</v>
      </c>
    </row>
    <row r="43" spans="1:8" ht="13.5" thickBot="1" x14ac:dyDescent="0.25">
      <c r="A43" s="39" t="s">
        <v>49</v>
      </c>
      <c r="B43" s="40">
        <f>B40+(B41/3)</f>
        <v>5</v>
      </c>
      <c r="C43" s="40">
        <f>C40+(C41/3)</f>
        <v>5.333333333333333</v>
      </c>
      <c r="D43" s="40">
        <f>D40+(D41/3)</f>
        <v>5.666666666666667</v>
      </c>
      <c r="E43" s="40">
        <f>E40+(E41/3)</f>
        <v>6.333333333333333</v>
      </c>
      <c r="F43" s="40">
        <f>F40+(F41/3)</f>
        <v>7</v>
      </c>
      <c r="G43" s="67">
        <f>AVERAGE(B43:F43)</f>
        <v>5.8666666666666663</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17.933333333333334</v>
      </c>
      <c r="C47" s="56">
        <f>(C8+C14)/C43</f>
        <v>16.250000000000004</v>
      </c>
      <c r="D47" s="56">
        <f>(D8+D14)/D43</f>
        <v>14.294117647058822</v>
      </c>
      <c r="E47" s="56">
        <f>(E8+E14)/E43</f>
        <v>11.105263157894736</v>
      </c>
      <c r="F47" s="56">
        <f>(F8+F14)/F43</f>
        <v>11.428571428571429</v>
      </c>
      <c r="G47" s="57">
        <f>AVERAGE(B47:F47)</f>
        <v>14.202257113371667</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887</v>
      </c>
      <c r="C51" s="56">
        <f>C31/C43</f>
        <v>845.4375</v>
      </c>
      <c r="D51" s="56">
        <f>D31/D43</f>
        <v>779.82352941176464</v>
      </c>
      <c r="E51" s="56">
        <f>E31/E43</f>
        <v>607.73684210526324</v>
      </c>
      <c r="F51" s="56">
        <f>F31/F43</f>
        <v>531.71428571428567</v>
      </c>
      <c r="G51" s="57">
        <f>AVERAGE(B51:F51)</f>
        <v>730.34243144626282</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424729</v>
      </c>
      <c r="C55" s="73">
        <f>481054.18</f>
        <v>481054.18</v>
      </c>
      <c r="D55" s="73">
        <v>477494.84</v>
      </c>
      <c r="E55" s="73">
        <v>479056</v>
      </c>
      <c r="F55" s="73">
        <v>525155</v>
      </c>
      <c r="G55" s="74">
        <f>AVERAGE(B55:F55)</f>
        <v>477497.804</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95.767531003382189</v>
      </c>
      <c r="C59" s="76">
        <f>C55/C31</f>
        <v>106.68755378132623</v>
      </c>
      <c r="D59" s="76">
        <f>D55/D31</f>
        <v>108.0549536094139</v>
      </c>
      <c r="E59" s="76">
        <f>E55/E31</f>
        <v>124.46245778124188</v>
      </c>
      <c r="F59" s="76">
        <f>F55/F31</f>
        <v>141.09484148307362</v>
      </c>
      <c r="G59" s="74">
        <f>AVERAGE(B59:F59)</f>
        <v>115.21346753168757</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84945.8</v>
      </c>
      <c r="C63" s="75">
        <f t="shared" ref="C63:F63" si="2">C55/C43</f>
        <v>90197.658750000002</v>
      </c>
      <c r="D63" s="75">
        <f t="shared" si="2"/>
        <v>84263.795294117648</v>
      </c>
      <c r="E63" s="75">
        <f t="shared" si="2"/>
        <v>75640.421052631587</v>
      </c>
      <c r="F63" s="75">
        <f t="shared" si="2"/>
        <v>75022.142857142855</v>
      </c>
      <c r="G63" s="74">
        <f>AVERAGE(B63:F63)</f>
        <v>82013.96359077841</v>
      </c>
    </row>
  </sheetData>
  <mergeCells count="1">
    <mergeCell ref="B1:D1"/>
  </mergeCells>
  <phoneticPr fontId="2" type="noConversion"/>
  <printOptions horizontalCentered="1" verticalCentered="1"/>
  <pageMargins left="0.75" right="0.75" top="0.5" bottom="0.55000000000000004" header="0.5" footer="0.2"/>
  <pageSetup scale="95"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186" t="s">
        <v>43</v>
      </c>
      <c r="C1" s="188"/>
      <c r="D1" s="188"/>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191</v>
      </c>
      <c r="C5" s="33">
        <v>194</v>
      </c>
      <c r="D5" s="32">
        <v>227</v>
      </c>
      <c r="E5" s="32">
        <v>225</v>
      </c>
      <c r="F5" s="32">
        <v>203</v>
      </c>
      <c r="G5" s="34">
        <f>AVERAGE(B5:F5)</f>
        <v>208</v>
      </c>
    </row>
    <row r="6" spans="1:8" x14ac:dyDescent="0.2">
      <c r="A6" s="31" t="s">
        <v>3</v>
      </c>
      <c r="B6" s="32">
        <v>27</v>
      </c>
      <c r="C6" s="33">
        <v>29</v>
      </c>
      <c r="D6" s="32">
        <v>32</v>
      </c>
      <c r="E6" s="32">
        <v>25</v>
      </c>
      <c r="F6" s="32">
        <v>22</v>
      </c>
      <c r="G6" s="34">
        <f>AVERAGE(B6:F6)</f>
        <v>27</v>
      </c>
    </row>
    <row r="7" spans="1:8" x14ac:dyDescent="0.2">
      <c r="A7" s="13" t="s">
        <v>4</v>
      </c>
      <c r="B7" s="14">
        <f>SUM(B5:B6)</f>
        <v>218</v>
      </c>
      <c r="C7" s="14">
        <f>SUM(C5:C6)</f>
        <v>223</v>
      </c>
      <c r="D7" s="14">
        <f>SUM(D5:D6)</f>
        <v>259</v>
      </c>
      <c r="E7" s="15">
        <f>SUM(E5:E6)</f>
        <v>250</v>
      </c>
      <c r="F7" s="15">
        <f>SUM(F5:F6)</f>
        <v>225</v>
      </c>
      <c r="G7" s="17">
        <f>AVERAGE(B7:F7)</f>
        <v>235</v>
      </c>
    </row>
    <row r="8" spans="1:8" ht="13.5" thickBot="1" x14ac:dyDescent="0.25">
      <c r="A8" s="35" t="s">
        <v>48</v>
      </c>
      <c r="B8" s="36">
        <f>B5+(B6/3)</f>
        <v>200</v>
      </c>
      <c r="C8" s="36">
        <f>C5+(C6/3)</f>
        <v>203.66666666666666</v>
      </c>
      <c r="D8" s="36">
        <f>D5+(D6/3)</f>
        <v>237.66666666666666</v>
      </c>
      <c r="E8" s="37">
        <f>E5+(E6/3)</f>
        <v>233.33333333333334</v>
      </c>
      <c r="F8" s="37">
        <f>F5+(F6/3)</f>
        <v>210.33333333333334</v>
      </c>
      <c r="G8" s="38">
        <f>AVERAGE(B8:F8)</f>
        <v>217</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29"/>
      <c r="C14" s="129"/>
      <c r="D14" s="129"/>
      <c r="E14" s="130"/>
      <c r="F14" s="129"/>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33</v>
      </c>
      <c r="C18" s="32">
        <v>29</v>
      </c>
      <c r="D18" s="32">
        <v>41</v>
      </c>
      <c r="E18" s="32">
        <v>56</v>
      </c>
      <c r="F18" s="32">
        <v>47</v>
      </c>
      <c r="G18" s="45">
        <f>AVERAGE(B18:F18)</f>
        <v>41.2</v>
      </c>
    </row>
    <row r="19" spans="1:8" x14ac:dyDescent="0.2">
      <c r="A19" s="46" t="s">
        <v>63</v>
      </c>
      <c r="B19" s="117"/>
      <c r="C19" s="117"/>
      <c r="D19" s="117"/>
      <c r="E19" s="117"/>
      <c r="F19" s="117"/>
      <c r="G19" s="118"/>
    </row>
    <row r="20" spans="1:8" ht="13.5" thickBot="1" x14ac:dyDescent="0.25">
      <c r="A20" s="49" t="s">
        <v>4</v>
      </c>
      <c r="B20" s="79">
        <f>B19+B18</f>
        <v>33</v>
      </c>
      <c r="C20" s="79">
        <f t="shared" ref="C20:F20" si="0">C19+C18</f>
        <v>29</v>
      </c>
      <c r="D20" s="79">
        <f t="shared" si="0"/>
        <v>41</v>
      </c>
      <c r="E20" s="79">
        <f t="shared" si="0"/>
        <v>56</v>
      </c>
      <c r="F20" s="79">
        <f t="shared" si="0"/>
        <v>47</v>
      </c>
      <c r="G20" s="51">
        <f>AVERAGE(B20:F20)</f>
        <v>41.2</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6.6060606060606064</v>
      </c>
      <c r="C24" s="54">
        <f>C7/C18</f>
        <v>7.6896551724137927</v>
      </c>
      <c r="D24" s="54">
        <f>D7/D18</f>
        <v>6.3170731707317076</v>
      </c>
      <c r="E24" s="54">
        <f>E7/E18</f>
        <v>4.4642857142857144</v>
      </c>
      <c r="F24" s="54">
        <f>F7/F18</f>
        <v>4.7872340425531918</v>
      </c>
      <c r="G24" s="45">
        <f>AVERAGE(B24:F24)</f>
        <v>5.9728617412090026</v>
      </c>
    </row>
    <row r="25" spans="1:8" ht="13.5" thickBot="1" x14ac:dyDescent="0.25">
      <c r="A25" s="55" t="s">
        <v>64</v>
      </c>
      <c r="B25" s="133"/>
      <c r="C25" s="133"/>
      <c r="D25" s="133"/>
      <c r="E25" s="133"/>
      <c r="F25" s="133"/>
      <c r="G25" s="120"/>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2217</v>
      </c>
      <c r="C29" s="61">
        <v>2358</v>
      </c>
      <c r="D29" s="61">
        <v>2518</v>
      </c>
      <c r="E29" s="61">
        <v>2694</v>
      </c>
      <c r="F29" s="61">
        <v>2652</v>
      </c>
      <c r="G29" s="62">
        <f>AVERAGE(B29:F29)</f>
        <v>2487.8000000000002</v>
      </c>
    </row>
    <row r="30" spans="1:8" x14ac:dyDescent="0.2">
      <c r="A30" s="60" t="s">
        <v>8</v>
      </c>
      <c r="B30" s="111"/>
      <c r="C30" s="111"/>
      <c r="D30" s="111"/>
      <c r="E30" s="111"/>
      <c r="F30" s="111"/>
      <c r="G30" s="112"/>
    </row>
    <row r="31" spans="1:8" ht="13.5" thickBot="1" x14ac:dyDescent="0.25">
      <c r="A31" s="22" t="s">
        <v>4</v>
      </c>
      <c r="B31" s="23">
        <f>SUM(B29:B30)</f>
        <v>2217</v>
      </c>
      <c r="C31" s="23">
        <f>SUM(C29:C30)</f>
        <v>2358</v>
      </c>
      <c r="D31" s="23">
        <f>SUM(D29:D30)</f>
        <v>2518</v>
      </c>
      <c r="E31" s="23">
        <f>SUM(E29:E30)</f>
        <v>2694</v>
      </c>
      <c r="F31" s="23">
        <f>SUM(F29:F30)</f>
        <v>2652</v>
      </c>
      <c r="G31" s="24">
        <f>AVERAGE(B31:F31)</f>
        <v>2487.8000000000002</v>
      </c>
    </row>
    <row r="32" spans="1:8" ht="9.9499999999999993" customHeight="1" thickBot="1" x14ac:dyDescent="0.25">
      <c r="A32" s="58"/>
    </row>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19.100000000000001</v>
      </c>
      <c r="C35" s="32">
        <v>20.2</v>
      </c>
      <c r="D35" s="63">
        <v>22.3</v>
      </c>
      <c r="E35" s="63">
        <v>22.5</v>
      </c>
      <c r="F35" s="63">
        <v>21.8</v>
      </c>
      <c r="G35" s="45">
        <f>AVERAGE(B35:F35)</f>
        <v>21.18</v>
      </c>
    </row>
    <row r="36" spans="1:8" ht="13.5" thickBot="1" x14ac:dyDescent="0.25">
      <c r="A36" s="64" t="s">
        <v>8</v>
      </c>
      <c r="B36" s="119"/>
      <c r="C36" s="119"/>
      <c r="D36" s="119"/>
      <c r="E36" s="119"/>
      <c r="F36" s="119"/>
      <c r="G36" s="120"/>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5</v>
      </c>
      <c r="C40" s="32">
        <v>4</v>
      </c>
      <c r="D40" s="32">
        <v>4</v>
      </c>
      <c r="E40" s="32">
        <v>4</v>
      </c>
      <c r="F40" s="32">
        <v>4</v>
      </c>
      <c r="G40" s="45">
        <f>AVERAGE(B40:F40)</f>
        <v>4.2</v>
      </c>
    </row>
    <row r="41" spans="1:8" x14ac:dyDescent="0.2">
      <c r="A41" s="60" t="s">
        <v>3</v>
      </c>
      <c r="B41" s="32">
        <v>2</v>
      </c>
      <c r="C41" s="32">
        <v>2</v>
      </c>
      <c r="D41" s="32">
        <v>1</v>
      </c>
      <c r="E41" s="32">
        <v>2</v>
      </c>
      <c r="F41" s="32">
        <v>1</v>
      </c>
      <c r="G41" s="45">
        <f>AVERAGE(B41:F41)</f>
        <v>1.6</v>
      </c>
    </row>
    <row r="42" spans="1:8" x14ac:dyDescent="0.2">
      <c r="A42" s="13" t="s">
        <v>4</v>
      </c>
      <c r="B42" s="14">
        <f>SUM(B40:B41)</f>
        <v>7</v>
      </c>
      <c r="C42" s="14">
        <f>SUM(C40:C41)</f>
        <v>6</v>
      </c>
      <c r="D42" s="14">
        <f>SUM(D40:D41)</f>
        <v>5</v>
      </c>
      <c r="E42" s="14">
        <f>SUM(E40:E41)</f>
        <v>6</v>
      </c>
      <c r="F42" s="14">
        <f>SUM(F40:F41)</f>
        <v>5</v>
      </c>
      <c r="G42" s="17">
        <f>AVERAGE(B42:F42)</f>
        <v>5.8</v>
      </c>
    </row>
    <row r="43" spans="1:8" ht="13.5" thickBot="1" x14ac:dyDescent="0.25">
      <c r="A43" s="39" t="s">
        <v>49</v>
      </c>
      <c r="B43" s="40">
        <f>B40+(B41/3)</f>
        <v>5.666666666666667</v>
      </c>
      <c r="C43" s="40">
        <f>C40+(C41/3)</f>
        <v>4.666666666666667</v>
      </c>
      <c r="D43" s="40">
        <f>D40+(D41/3)</f>
        <v>4.333333333333333</v>
      </c>
      <c r="E43" s="40">
        <f>E40+(E41/3)</f>
        <v>4.666666666666667</v>
      </c>
      <c r="F43" s="40">
        <f>F40+(F41/3)</f>
        <v>4.333333333333333</v>
      </c>
      <c r="G43" s="67">
        <f>AVERAGE(B43:F43)</f>
        <v>4.7333333333333334</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35.294117647058819</v>
      </c>
      <c r="C47" s="56">
        <f>(C8+C14)/C43</f>
        <v>43.642857142857139</v>
      </c>
      <c r="D47" s="56">
        <f>(D8+D14)/D43</f>
        <v>54.846153846153847</v>
      </c>
      <c r="E47" s="56">
        <f>(E8+E14)/E43</f>
        <v>50</v>
      </c>
      <c r="F47" s="56">
        <f>(F8+F14)/F43</f>
        <v>48.538461538461547</v>
      </c>
      <c r="G47" s="57">
        <f>AVERAGE(B47:F47)</f>
        <v>46.46431803490627</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391.23529411764702</v>
      </c>
      <c r="C51" s="56">
        <f>C31/C43</f>
        <v>505.28571428571428</v>
      </c>
      <c r="D51" s="56">
        <f>D31/D43</f>
        <v>581.07692307692309</v>
      </c>
      <c r="E51" s="56">
        <f>E31/E43</f>
        <v>577.28571428571422</v>
      </c>
      <c r="F51" s="56">
        <f>F31/F43</f>
        <v>612</v>
      </c>
      <c r="G51" s="57">
        <f>AVERAGE(B51:F51)</f>
        <v>533.37672915319968</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387894</v>
      </c>
      <c r="C55" s="73">
        <v>392516.73</v>
      </c>
      <c r="D55" s="73">
        <v>399797.9</v>
      </c>
      <c r="E55" s="73">
        <v>416257</v>
      </c>
      <c r="F55" s="73">
        <v>419806</v>
      </c>
      <c r="G55" s="74">
        <f>AVERAGE(B55:F55)</f>
        <v>403254.326</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174.96346414073071</v>
      </c>
      <c r="C59" s="76">
        <f>C55/C31</f>
        <v>166.46171755725189</v>
      </c>
      <c r="D59" s="76">
        <f>D55/D31</f>
        <v>158.77597299444005</v>
      </c>
      <c r="E59" s="76">
        <f>E55/E31</f>
        <v>154.51262063845581</v>
      </c>
      <c r="F59" s="76">
        <f>F55/F31</f>
        <v>158.29788838612367</v>
      </c>
      <c r="G59" s="74">
        <f>AVERAGE(B59:F59)</f>
        <v>162.60233274340041</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68451.882352941175</v>
      </c>
      <c r="C63" s="75">
        <f t="shared" ref="C63:F63" si="1">C55/C43</f>
        <v>84110.727857142847</v>
      </c>
      <c r="D63" s="75">
        <f t="shared" si="1"/>
        <v>92261.053846153853</v>
      </c>
      <c r="E63" s="75">
        <f t="shared" si="1"/>
        <v>89197.928571428565</v>
      </c>
      <c r="F63" s="75">
        <f t="shared" si="1"/>
        <v>96878.307692307702</v>
      </c>
      <c r="G63" s="74">
        <f>AVERAGE(B63:F63)</f>
        <v>86179.980063994823</v>
      </c>
    </row>
  </sheetData>
  <mergeCells count="1">
    <mergeCell ref="B1:D1"/>
  </mergeCells>
  <phoneticPr fontId="6" type="noConversion"/>
  <printOptions horizontalCentered="1" verticalCentered="1"/>
  <pageMargins left="0.75" right="0.75" top="0.5" bottom="0.55000000000000004" header="0.5" footer="0.2"/>
  <pageSetup scale="90"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77" t="s">
        <v>54</v>
      </c>
      <c r="C1" s="78"/>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26</v>
      </c>
      <c r="C5" s="33">
        <v>57</v>
      </c>
      <c r="D5" s="32">
        <v>84</v>
      </c>
      <c r="E5" s="32">
        <v>92</v>
      </c>
      <c r="F5" s="32">
        <v>65</v>
      </c>
      <c r="G5" s="34">
        <f>AVERAGE(B5:F5)</f>
        <v>64.8</v>
      </c>
    </row>
    <row r="6" spans="1:8" x14ac:dyDescent="0.2">
      <c r="A6" s="31" t="s">
        <v>3</v>
      </c>
      <c r="B6" s="32">
        <v>17</v>
      </c>
      <c r="C6" s="33">
        <v>50</v>
      </c>
      <c r="D6" s="32">
        <v>52</v>
      </c>
      <c r="E6" s="32">
        <v>59</v>
      </c>
      <c r="F6" s="32">
        <v>59</v>
      </c>
      <c r="G6" s="34">
        <f>AVERAGE(B6:F6)</f>
        <v>47.4</v>
      </c>
    </row>
    <row r="7" spans="1:8" x14ac:dyDescent="0.2">
      <c r="A7" s="13" t="s">
        <v>4</v>
      </c>
      <c r="B7" s="14">
        <f t="shared" ref="B7:C7" si="0">SUM(B5:B6)</f>
        <v>43</v>
      </c>
      <c r="C7" s="14">
        <f t="shared" si="0"/>
        <v>107</v>
      </c>
      <c r="D7" s="14">
        <f>SUM(D5:D6)</f>
        <v>136</v>
      </c>
      <c r="E7" s="15">
        <f>SUM(E5:E6)</f>
        <v>151</v>
      </c>
      <c r="F7" s="15">
        <f>SUM(F5:F6)</f>
        <v>124</v>
      </c>
      <c r="G7" s="17">
        <f>AVERAGE(B7:F7)</f>
        <v>112.2</v>
      </c>
    </row>
    <row r="8" spans="1:8" ht="13.5" thickBot="1" x14ac:dyDescent="0.25">
      <c r="A8" s="35" t="s">
        <v>48</v>
      </c>
      <c r="B8" s="36">
        <f t="shared" ref="B8:C8" si="1">B5+(B6/3)</f>
        <v>31.666666666666668</v>
      </c>
      <c r="C8" s="36">
        <f t="shared" si="1"/>
        <v>73.666666666666671</v>
      </c>
      <c r="D8" s="36">
        <f>D5+(D6/3)</f>
        <v>101.33333333333333</v>
      </c>
      <c r="E8" s="37">
        <f>E5+(E6/3)</f>
        <v>111.66666666666667</v>
      </c>
      <c r="F8" s="37">
        <f>F5+(F6/3)</f>
        <v>84.666666666666671</v>
      </c>
      <c r="G8" s="38">
        <f>AVERAGE(B8:F8)</f>
        <v>80.600000000000009</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123"/>
      <c r="C11" s="124"/>
      <c r="D11" s="32">
        <v>8</v>
      </c>
      <c r="E11" s="32">
        <v>10</v>
      </c>
      <c r="F11" s="32">
        <v>12</v>
      </c>
      <c r="G11" s="34">
        <f>AVERAGE(B11:F11)</f>
        <v>10</v>
      </c>
    </row>
    <row r="12" spans="1:8" x14ac:dyDescent="0.2">
      <c r="A12" s="31" t="s">
        <v>3</v>
      </c>
      <c r="B12" s="123"/>
      <c r="C12" s="124"/>
      <c r="D12" s="32">
        <v>16</v>
      </c>
      <c r="E12" s="32">
        <v>31</v>
      </c>
      <c r="F12" s="32">
        <v>46</v>
      </c>
      <c r="G12" s="34">
        <f>AVERAGE(B12:F12)</f>
        <v>31</v>
      </c>
    </row>
    <row r="13" spans="1:8" x14ac:dyDescent="0.2">
      <c r="A13" s="13" t="s">
        <v>4</v>
      </c>
      <c r="B13" s="126"/>
      <c r="C13" s="126"/>
      <c r="D13" s="14">
        <f>D12+D11</f>
        <v>24</v>
      </c>
      <c r="E13" s="14">
        <f>E12+E11</f>
        <v>41</v>
      </c>
      <c r="F13" s="14">
        <f>F12+F11</f>
        <v>58</v>
      </c>
      <c r="G13" s="16">
        <f>AVERAGE(B13:F13)</f>
        <v>41</v>
      </c>
    </row>
    <row r="14" spans="1:8" ht="13.5" thickBot="1" x14ac:dyDescent="0.25">
      <c r="A14" s="39" t="s">
        <v>48</v>
      </c>
      <c r="B14" s="129"/>
      <c r="C14" s="129"/>
      <c r="D14" s="40">
        <f>D11+(D12/3)</f>
        <v>13.333333333333332</v>
      </c>
      <c r="E14" s="40">
        <f>E11+(E12/3)</f>
        <v>20.333333333333336</v>
      </c>
      <c r="F14" s="40">
        <f>F11+(F12/3)</f>
        <v>27.333333333333336</v>
      </c>
      <c r="G14" s="42">
        <f>AVERAGE(B14:F14)</f>
        <v>20.333333333333336</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3</v>
      </c>
      <c r="C18" s="32">
        <v>25</v>
      </c>
      <c r="D18" s="32">
        <v>30</v>
      </c>
      <c r="E18" s="32">
        <v>44</v>
      </c>
      <c r="F18" s="32">
        <v>38</v>
      </c>
      <c r="G18" s="45">
        <f>AVERAGE(B18:F18)</f>
        <v>28</v>
      </c>
    </row>
    <row r="19" spans="1:8" x14ac:dyDescent="0.2">
      <c r="A19" s="46" t="s">
        <v>63</v>
      </c>
      <c r="B19" s="117"/>
      <c r="C19" s="117"/>
      <c r="D19" s="117"/>
      <c r="E19" s="47">
        <v>2</v>
      </c>
      <c r="F19" s="47">
        <v>9</v>
      </c>
      <c r="G19" s="48">
        <f>AVERAGE(B19:F19)</f>
        <v>5.5</v>
      </c>
    </row>
    <row r="20" spans="1:8" ht="13.5" thickBot="1" x14ac:dyDescent="0.25">
      <c r="A20" s="49" t="s">
        <v>4</v>
      </c>
      <c r="B20" s="79">
        <f>B19+B18</f>
        <v>3</v>
      </c>
      <c r="C20" s="79">
        <f t="shared" ref="C20:F20" si="2">C19+C18</f>
        <v>25</v>
      </c>
      <c r="D20" s="79">
        <f t="shared" si="2"/>
        <v>30</v>
      </c>
      <c r="E20" s="79">
        <f t="shared" si="2"/>
        <v>46</v>
      </c>
      <c r="F20" s="79">
        <f t="shared" si="2"/>
        <v>47</v>
      </c>
      <c r="G20" s="51">
        <f>AVERAGE(B20:F20)</f>
        <v>30.2</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132"/>
      <c r="C24" s="132"/>
      <c r="D24" s="54">
        <f>D7/D18</f>
        <v>4.5333333333333332</v>
      </c>
      <c r="E24" s="54">
        <f>E7/E18</f>
        <v>3.4318181818181817</v>
      </c>
      <c r="F24" s="54">
        <f>F7/F18</f>
        <v>3.263157894736842</v>
      </c>
      <c r="G24" s="45">
        <f>AVERAGE(B24:F24)</f>
        <v>3.742769803296119</v>
      </c>
    </row>
    <row r="25" spans="1:8" ht="13.5" thickBot="1" x14ac:dyDescent="0.25">
      <c r="A25" s="55" t="s">
        <v>64</v>
      </c>
      <c r="B25" s="133"/>
      <c r="C25" s="133"/>
      <c r="D25" s="133"/>
      <c r="E25" s="56">
        <f>E13/E19</f>
        <v>20.5</v>
      </c>
      <c r="F25" s="56">
        <f>F13/F19</f>
        <v>6.4444444444444446</v>
      </c>
      <c r="G25" s="57">
        <f>AVERAGE(B25:F25)</f>
        <v>13.472222222222221</v>
      </c>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208</v>
      </c>
      <c r="C29" s="61">
        <v>237</v>
      </c>
      <c r="D29" s="61">
        <v>356</v>
      </c>
      <c r="E29" s="61">
        <v>419</v>
      </c>
      <c r="F29" s="61">
        <v>307</v>
      </c>
      <c r="G29" s="62">
        <f>AVERAGE(B29:F29)</f>
        <v>305.39999999999998</v>
      </c>
    </row>
    <row r="30" spans="1:8" x14ac:dyDescent="0.2">
      <c r="A30" s="60" t="s">
        <v>8</v>
      </c>
      <c r="B30" s="111"/>
      <c r="C30" s="111"/>
      <c r="D30" s="61">
        <v>204</v>
      </c>
      <c r="E30" s="61">
        <v>378</v>
      </c>
      <c r="F30" s="61">
        <v>471</v>
      </c>
      <c r="G30" s="62">
        <f>AVERAGE(B30:F30)</f>
        <v>351</v>
      </c>
    </row>
    <row r="31" spans="1:8" ht="13.5" thickBot="1" x14ac:dyDescent="0.25">
      <c r="A31" s="22" t="s">
        <v>4</v>
      </c>
      <c r="B31" s="23">
        <f>SUM(B29:B30)</f>
        <v>208</v>
      </c>
      <c r="C31" s="23">
        <f>SUM(C29:C30)</f>
        <v>237</v>
      </c>
      <c r="D31" s="23">
        <f>SUM(D29:D30)</f>
        <v>560</v>
      </c>
      <c r="E31" s="23">
        <f>SUM(E29:E30)</f>
        <v>797</v>
      </c>
      <c r="F31" s="23">
        <f>SUM(F29:F30)</f>
        <v>778</v>
      </c>
      <c r="G31" s="24">
        <f>AVERAGE(B31:F31)</f>
        <v>516</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21.8</v>
      </c>
      <c r="C35" s="32">
        <v>16.5</v>
      </c>
      <c r="D35" s="63">
        <v>20.399999999999999</v>
      </c>
      <c r="E35" s="63">
        <v>18.7</v>
      </c>
      <c r="F35" s="63">
        <v>17.3</v>
      </c>
      <c r="G35" s="45">
        <f>AVERAGE(B35:F35)</f>
        <v>18.939999999999998</v>
      </c>
    </row>
    <row r="36" spans="1:8" ht="13.5" thickBot="1" x14ac:dyDescent="0.25">
      <c r="A36" s="64" t="s">
        <v>8</v>
      </c>
      <c r="B36" s="119"/>
      <c r="C36" s="119"/>
      <c r="D36" s="158">
        <v>17</v>
      </c>
      <c r="E36" s="65">
        <v>17.399999999999999</v>
      </c>
      <c r="F36" s="65">
        <v>17.899999999999999</v>
      </c>
      <c r="G36" s="57">
        <f>AVERAGE(B36:F36)</f>
        <v>17.433333333333334</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ht="15" x14ac:dyDescent="0.25">
      <c r="A40" s="60" t="s">
        <v>2</v>
      </c>
      <c r="B40" s="1">
        <v>0</v>
      </c>
      <c r="C40" s="1">
        <v>0</v>
      </c>
      <c r="D40" s="32">
        <v>0</v>
      </c>
      <c r="E40" s="32">
        <v>0</v>
      </c>
      <c r="F40" s="32">
        <v>0</v>
      </c>
      <c r="G40" s="45">
        <f>AVERAGE(B40:F40)</f>
        <v>0</v>
      </c>
    </row>
    <row r="41" spans="1:8" ht="15" x14ac:dyDescent="0.25">
      <c r="A41" s="60" t="s">
        <v>3</v>
      </c>
      <c r="B41" s="1">
        <v>0</v>
      </c>
      <c r="C41" s="1">
        <v>0</v>
      </c>
      <c r="D41" s="32">
        <v>0</v>
      </c>
      <c r="E41" s="32">
        <v>0</v>
      </c>
      <c r="F41" s="32">
        <v>2</v>
      </c>
      <c r="G41" s="45">
        <f>AVERAGE(B41:F41)</f>
        <v>0.4</v>
      </c>
    </row>
    <row r="42" spans="1:8" x14ac:dyDescent="0.2">
      <c r="A42" s="13" t="s">
        <v>4</v>
      </c>
      <c r="B42" s="14">
        <f t="shared" ref="B42:E42" si="3">B41+B40</f>
        <v>0</v>
      </c>
      <c r="C42" s="14">
        <f t="shared" si="3"/>
        <v>0</v>
      </c>
      <c r="D42" s="14">
        <f t="shared" si="3"/>
        <v>0</v>
      </c>
      <c r="E42" s="14">
        <f t="shared" si="3"/>
        <v>0</v>
      </c>
      <c r="F42" s="14">
        <f>F41+F40</f>
        <v>2</v>
      </c>
      <c r="G42" s="17">
        <f>AVERAGE(B42:F42)</f>
        <v>0.4</v>
      </c>
    </row>
    <row r="43" spans="1:8" ht="13.5" thickBot="1" x14ac:dyDescent="0.25">
      <c r="A43" s="39" t="s">
        <v>49</v>
      </c>
      <c r="B43" s="40">
        <f t="shared" ref="B43:F43" si="4">B40+(B41/3)</f>
        <v>0</v>
      </c>
      <c r="C43" s="40">
        <f t="shared" si="4"/>
        <v>0</v>
      </c>
      <c r="D43" s="40">
        <f t="shared" si="4"/>
        <v>0</v>
      </c>
      <c r="E43" s="40">
        <f t="shared" si="4"/>
        <v>0</v>
      </c>
      <c r="F43" s="40">
        <f t="shared" si="4"/>
        <v>0.66666666666666663</v>
      </c>
      <c r="G43" s="67">
        <f>G40+(G41/3)</f>
        <v>0.13333333333333333</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134"/>
      <c r="C47" s="133"/>
      <c r="D47" s="133"/>
      <c r="E47" s="133"/>
      <c r="F47" s="133"/>
      <c r="G47" s="120"/>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134"/>
      <c r="C51" s="133"/>
      <c r="D51" s="133"/>
      <c r="E51" s="133"/>
      <c r="F51" s="133"/>
      <c r="G51" s="120"/>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239</v>
      </c>
      <c r="C55" s="73">
        <v>468.03</v>
      </c>
      <c r="D55" s="73">
        <v>0</v>
      </c>
      <c r="E55" s="73">
        <v>0</v>
      </c>
      <c r="F55" s="73">
        <v>6487</v>
      </c>
      <c r="G55" s="74">
        <f>AVERAGE(B55:F55)</f>
        <v>1438.806</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1.1490384615384615</v>
      </c>
      <c r="C59" s="75">
        <f t="shared" ref="C59:F59" si="5">C55/C31</f>
        <v>1.9748101265822784</v>
      </c>
      <c r="D59" s="75">
        <f t="shared" si="5"/>
        <v>0</v>
      </c>
      <c r="E59" s="75">
        <f t="shared" si="5"/>
        <v>0</v>
      </c>
      <c r="F59" s="75">
        <f t="shared" si="5"/>
        <v>8.3380462724935729</v>
      </c>
      <c r="G59" s="74">
        <f>AVERAGE(B59:F59)</f>
        <v>2.2923789721228625</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t="e">
        <f>B55/B43</f>
        <v>#DIV/0!</v>
      </c>
      <c r="C63" s="75" t="e">
        <f t="shared" ref="C63:F63" si="6">C55/C43</f>
        <v>#DIV/0!</v>
      </c>
      <c r="D63" s="75" t="e">
        <f t="shared" si="6"/>
        <v>#DIV/0!</v>
      </c>
      <c r="E63" s="75" t="e">
        <f t="shared" si="6"/>
        <v>#DIV/0!</v>
      </c>
      <c r="F63" s="75">
        <f t="shared" si="6"/>
        <v>9730.5</v>
      </c>
      <c r="G63" s="74" t="e">
        <f>AVERAGE(B63:F63)</f>
        <v>#DIV/0!</v>
      </c>
    </row>
  </sheetData>
  <printOptions horizontalCentered="1" verticalCentered="1"/>
  <pageMargins left="0.75" right="0.75" top="0.5" bottom="0.55000000000000004" header="0.5" footer="0.2"/>
  <pageSetup scale="96" fitToWidth="0"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51</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609</v>
      </c>
      <c r="C5" s="33">
        <v>559</v>
      </c>
      <c r="D5" s="32">
        <v>574</v>
      </c>
      <c r="E5" s="32">
        <f>619-30</f>
        <v>589</v>
      </c>
      <c r="F5" s="32">
        <v>580</v>
      </c>
      <c r="G5" s="34">
        <f>AVERAGE(B5:F5)</f>
        <v>582.20000000000005</v>
      </c>
    </row>
    <row r="6" spans="1:8" x14ac:dyDescent="0.2">
      <c r="A6" s="31" t="s">
        <v>3</v>
      </c>
      <c r="B6" s="32">
        <v>73</v>
      </c>
      <c r="C6" s="33">
        <v>75</v>
      </c>
      <c r="D6" s="32">
        <v>75</v>
      </c>
      <c r="E6" s="32">
        <f>114-50</f>
        <v>64</v>
      </c>
      <c r="F6" s="32">
        <v>128</v>
      </c>
      <c r="G6" s="34">
        <f>AVERAGE(B6:F6)</f>
        <v>83</v>
      </c>
    </row>
    <row r="7" spans="1:8" x14ac:dyDescent="0.2">
      <c r="A7" s="13" t="s">
        <v>4</v>
      </c>
      <c r="B7" s="14">
        <f>SUM(B5:B6)</f>
        <v>682</v>
      </c>
      <c r="C7" s="14">
        <f>SUM(C5:C6)</f>
        <v>634</v>
      </c>
      <c r="D7" s="14">
        <f>SUM(D5:D6)</f>
        <v>649</v>
      </c>
      <c r="E7" s="15">
        <f>SUM(E5:E6)</f>
        <v>653</v>
      </c>
      <c r="F7" s="15">
        <f>SUM(F5:F6)</f>
        <v>708</v>
      </c>
      <c r="G7" s="17">
        <f>AVERAGE(B7:F7)</f>
        <v>665.2</v>
      </c>
    </row>
    <row r="8" spans="1:8" ht="13.5" thickBot="1" x14ac:dyDescent="0.25">
      <c r="A8" s="35" t="s">
        <v>48</v>
      </c>
      <c r="B8" s="36">
        <f>B5+(B6/3)</f>
        <v>633.33333333333337</v>
      </c>
      <c r="C8" s="36">
        <f>C5+(C6/3)</f>
        <v>584</v>
      </c>
      <c r="D8" s="36">
        <f>D5+(D6/3)</f>
        <v>599</v>
      </c>
      <c r="E8" s="37">
        <f>E5+(E6/3)</f>
        <v>610.33333333333337</v>
      </c>
      <c r="F8" s="37">
        <f>F5+(F6/3)</f>
        <v>622.66666666666663</v>
      </c>
      <c r="G8" s="38">
        <f>AVERAGE(B8:F8)</f>
        <v>609.86666666666667</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29"/>
      <c r="C14" s="129"/>
      <c r="D14" s="129"/>
      <c r="E14" s="130"/>
      <c r="F14" s="129"/>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44">
        <v>93</v>
      </c>
      <c r="C18" s="44">
        <v>85</v>
      </c>
      <c r="D18" s="32">
        <v>85</v>
      </c>
      <c r="E18" s="32">
        <v>90</v>
      </c>
      <c r="F18" s="32">
        <v>84</v>
      </c>
      <c r="G18" s="45">
        <f>AVERAGE(B18:F18)</f>
        <v>87.4</v>
      </c>
    </row>
    <row r="19" spans="1:8" x14ac:dyDescent="0.2">
      <c r="A19" s="46" t="s">
        <v>63</v>
      </c>
      <c r="B19" s="117"/>
      <c r="C19" s="117"/>
      <c r="D19" s="117"/>
      <c r="E19" s="117"/>
      <c r="F19" s="117"/>
      <c r="G19" s="118"/>
    </row>
    <row r="20" spans="1:8" ht="13.5" thickBot="1" x14ac:dyDescent="0.25">
      <c r="A20" s="49" t="s">
        <v>4</v>
      </c>
      <c r="B20" s="50">
        <f>B19+B18</f>
        <v>93</v>
      </c>
      <c r="C20" s="50">
        <f t="shared" ref="C20:G20" si="0">C19+C18</f>
        <v>85</v>
      </c>
      <c r="D20" s="50">
        <f t="shared" si="0"/>
        <v>85</v>
      </c>
      <c r="E20" s="50">
        <f t="shared" si="0"/>
        <v>90</v>
      </c>
      <c r="F20" s="50">
        <f t="shared" si="0"/>
        <v>84</v>
      </c>
      <c r="G20" s="51">
        <f t="shared" si="0"/>
        <v>87.4</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7.333333333333333</v>
      </c>
      <c r="C24" s="54">
        <f>C7/C18</f>
        <v>7.4588235294117649</v>
      </c>
      <c r="D24" s="54">
        <f>D7/D18</f>
        <v>7.6352941176470592</v>
      </c>
      <c r="E24" s="54">
        <f>E7/E18</f>
        <v>7.2555555555555555</v>
      </c>
      <c r="F24" s="54">
        <f>F7/F18</f>
        <v>8.4285714285714288</v>
      </c>
      <c r="G24" s="45">
        <f>AVERAGE(B24:F24)</f>
        <v>7.6223155929038287</v>
      </c>
    </row>
    <row r="25" spans="1:8" ht="13.5" thickBot="1" x14ac:dyDescent="0.25">
      <c r="A25" s="55" t="s">
        <v>64</v>
      </c>
      <c r="B25" s="56"/>
      <c r="C25" s="56"/>
      <c r="D25" s="56"/>
      <c r="E25" s="56"/>
      <c r="F25" s="56"/>
      <c r="G25" s="57"/>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6355</v>
      </c>
      <c r="C29" s="61">
        <v>6159</v>
      </c>
      <c r="D29" s="61">
        <v>6598</v>
      </c>
      <c r="E29" s="61">
        <v>6706</v>
      </c>
      <c r="F29" s="61">
        <f>228+2980+3194</f>
        <v>6402</v>
      </c>
      <c r="G29" s="62">
        <f>AVERAGE(B29:F29)</f>
        <v>6444</v>
      </c>
    </row>
    <row r="30" spans="1:8" x14ac:dyDescent="0.2">
      <c r="A30" s="60" t="s">
        <v>8</v>
      </c>
      <c r="B30" s="111"/>
      <c r="C30" s="111"/>
      <c r="D30" s="111"/>
      <c r="E30" s="111"/>
      <c r="F30" s="111"/>
      <c r="G30" s="112"/>
    </row>
    <row r="31" spans="1:8" ht="13.5" thickBot="1" x14ac:dyDescent="0.25">
      <c r="A31" s="22" t="s">
        <v>4</v>
      </c>
      <c r="B31" s="23">
        <f>SUM(B29:B30)</f>
        <v>6355</v>
      </c>
      <c r="C31" s="23">
        <f>SUM(C29:C30)</f>
        <v>6159</v>
      </c>
      <c r="D31" s="23">
        <f>SUM(D29:D30)</f>
        <v>6598</v>
      </c>
      <c r="E31" s="23">
        <f>SUM(E29:E30)</f>
        <v>6706</v>
      </c>
      <c r="F31" s="23">
        <f>SUM(F29:F30)</f>
        <v>6402</v>
      </c>
      <c r="G31" s="24">
        <f>AVERAGE(B31:F31)</f>
        <v>6444</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40.299999999999997</v>
      </c>
      <c r="C35" s="32">
        <v>33.4</v>
      </c>
      <c r="D35" s="63">
        <v>33.9</v>
      </c>
      <c r="E35" s="63">
        <v>36</v>
      </c>
      <c r="F35" s="63">
        <v>35.5</v>
      </c>
      <c r="G35" s="45">
        <f>AVERAGE(B35:F35)</f>
        <v>35.82</v>
      </c>
    </row>
    <row r="36" spans="1:8" ht="13.5" thickBot="1" x14ac:dyDescent="0.25">
      <c r="A36" s="64" t="s">
        <v>8</v>
      </c>
      <c r="B36" s="119"/>
      <c r="C36" s="119"/>
      <c r="D36" s="119"/>
      <c r="E36" s="119"/>
      <c r="F36" s="119"/>
      <c r="G36" s="120"/>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14</v>
      </c>
      <c r="C40" s="32">
        <v>14</v>
      </c>
      <c r="D40" s="32">
        <v>15</v>
      </c>
      <c r="E40" s="32">
        <v>15</v>
      </c>
      <c r="F40" s="32">
        <v>18</v>
      </c>
      <c r="G40" s="45">
        <f>AVERAGE(B40:F40)</f>
        <v>15.2</v>
      </c>
    </row>
    <row r="41" spans="1:8" x14ac:dyDescent="0.2">
      <c r="A41" s="60" t="s">
        <v>3</v>
      </c>
      <c r="B41" s="58">
        <v>23</v>
      </c>
      <c r="C41" s="32">
        <v>23</v>
      </c>
      <c r="D41" s="32">
        <v>25</v>
      </c>
      <c r="E41" s="32">
        <v>26</v>
      </c>
      <c r="F41" s="32">
        <v>21</v>
      </c>
      <c r="G41" s="45">
        <f>AVERAGE(B41:F41)</f>
        <v>23.6</v>
      </c>
    </row>
    <row r="42" spans="1:8" x14ac:dyDescent="0.2">
      <c r="A42" s="13" t="s">
        <v>4</v>
      </c>
      <c r="B42" s="14">
        <f>SUM(B40:B41)</f>
        <v>37</v>
      </c>
      <c r="C42" s="14">
        <f>SUM(C40:C41)</f>
        <v>37</v>
      </c>
      <c r="D42" s="14">
        <f>SUM(D40:D41)</f>
        <v>40</v>
      </c>
      <c r="E42" s="14">
        <f>SUM(E40:E41)</f>
        <v>41</v>
      </c>
      <c r="F42" s="14">
        <f>SUM(F40:F41)</f>
        <v>39</v>
      </c>
      <c r="G42" s="17">
        <f>AVERAGE(B42:F42)</f>
        <v>38.799999999999997</v>
      </c>
    </row>
    <row r="43" spans="1:8" ht="13.5" thickBot="1" x14ac:dyDescent="0.25">
      <c r="A43" s="39" t="s">
        <v>49</v>
      </c>
      <c r="B43" s="40">
        <f>B40+(B41/3)</f>
        <v>21.666666666666668</v>
      </c>
      <c r="C43" s="40">
        <f>C40+(C41/3)</f>
        <v>21.666666666666668</v>
      </c>
      <c r="D43" s="40">
        <f>D40+(D41/3)</f>
        <v>23.333333333333336</v>
      </c>
      <c r="E43" s="40">
        <f>E40+(E41/3)</f>
        <v>23.666666666666664</v>
      </c>
      <c r="F43" s="40">
        <f>F40+(F41/3)</f>
        <v>25</v>
      </c>
      <c r="G43" s="67">
        <f>AVERAGE(B43:F43)</f>
        <v>23.06666666666667</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29.23076923076923</v>
      </c>
      <c r="C47" s="56">
        <f>(C8+C14)/C43</f>
        <v>26.953846153846154</v>
      </c>
      <c r="D47" s="56">
        <f>(D8+D14)/D43</f>
        <v>25.671428571428567</v>
      </c>
      <c r="E47" s="56">
        <f>(E8+E14)/E43</f>
        <v>25.7887323943662</v>
      </c>
      <c r="F47" s="56">
        <f>(F8+F14)/F43</f>
        <v>24.906666666666666</v>
      </c>
      <c r="G47" s="57">
        <f>AVERAGE(B47:F47)</f>
        <v>26.510288603415365</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293.30769230769226</v>
      </c>
      <c r="C51" s="56">
        <f>C31/C43</f>
        <v>284.26153846153846</v>
      </c>
      <c r="D51" s="56">
        <f>D31/D43</f>
        <v>282.77142857142854</v>
      </c>
      <c r="E51" s="56">
        <f>E31/E43</f>
        <v>283.35211267605638</v>
      </c>
      <c r="F51" s="56">
        <f>F31/F43</f>
        <v>256.08</v>
      </c>
      <c r="G51" s="57">
        <f>AVERAGE(B51:F51)</f>
        <v>279.95455440334308</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1778303</v>
      </c>
      <c r="C55" s="73">
        <f>1977132.92+7548.02</f>
        <v>1984680.94</v>
      </c>
      <c r="D55" s="73">
        <f>2072817.26+141385.13</f>
        <v>2214202.39</v>
      </c>
      <c r="E55" s="73">
        <v>2176962</v>
      </c>
      <c r="F55" s="73">
        <v>2343821</v>
      </c>
      <c r="G55" s="74">
        <f>AVERAGE(B55:F55)</f>
        <v>2099593.8659999999</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279.82738001573563</v>
      </c>
      <c r="C59" s="76">
        <f>C55/C31</f>
        <v>322.24077610001621</v>
      </c>
      <c r="D59" s="76">
        <f>D55/D31</f>
        <v>335.58690360715372</v>
      </c>
      <c r="E59" s="76">
        <f>E55/E31</f>
        <v>324.62898896510586</v>
      </c>
      <c r="F59" s="76">
        <f>F55/F31</f>
        <v>366.1076226179319</v>
      </c>
      <c r="G59" s="74">
        <f>AVERAGE(B59:F59)</f>
        <v>325.6783342611887</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82075.523076923069</v>
      </c>
      <c r="C63" s="75">
        <f t="shared" ref="C63:F63" si="1">C55/C43</f>
        <v>91600.658769230766</v>
      </c>
      <c r="D63" s="75">
        <f t="shared" si="1"/>
        <v>94894.388142857133</v>
      </c>
      <c r="E63" s="75">
        <f t="shared" si="1"/>
        <v>91984.309859154935</v>
      </c>
      <c r="F63" s="75">
        <f t="shared" si="1"/>
        <v>93752.84</v>
      </c>
      <c r="G63" s="74">
        <f>AVERAGE(B63:F63)</f>
        <v>90861.543969633174</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50</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94</v>
      </c>
      <c r="C5" s="33">
        <v>78</v>
      </c>
      <c r="D5" s="32">
        <v>86</v>
      </c>
      <c r="E5" s="32">
        <f>44+30</f>
        <v>74</v>
      </c>
      <c r="F5" s="32">
        <v>40</v>
      </c>
      <c r="G5" s="34">
        <f>AVERAGE(B5:F5)</f>
        <v>74.400000000000006</v>
      </c>
    </row>
    <row r="6" spans="1:8" x14ac:dyDescent="0.2">
      <c r="A6" s="31" t="s">
        <v>3</v>
      </c>
      <c r="B6" s="32">
        <v>216</v>
      </c>
      <c r="C6" s="33">
        <v>215</v>
      </c>
      <c r="D6" s="32">
        <v>163</v>
      </c>
      <c r="E6" s="32">
        <f>132+50</f>
        <v>182</v>
      </c>
      <c r="F6" s="32">
        <v>110</v>
      </c>
      <c r="G6" s="34">
        <f>AVERAGE(B6:F6)</f>
        <v>177.2</v>
      </c>
    </row>
    <row r="7" spans="1:8" x14ac:dyDescent="0.2">
      <c r="A7" s="13" t="s">
        <v>4</v>
      </c>
      <c r="B7" s="14">
        <f>SUM(B5:B6)</f>
        <v>310</v>
      </c>
      <c r="C7" s="14">
        <f>SUM(C5:C6)</f>
        <v>293</v>
      </c>
      <c r="D7" s="14">
        <f>SUM(D5:D6)</f>
        <v>249</v>
      </c>
      <c r="E7" s="15">
        <f>SUM(E5:E6)</f>
        <v>256</v>
      </c>
      <c r="F7" s="15">
        <f>SUM(F5:F6)</f>
        <v>150</v>
      </c>
      <c r="G7" s="17">
        <f>AVERAGE(B7:F7)</f>
        <v>251.6</v>
      </c>
    </row>
    <row r="8" spans="1:8" ht="13.5" thickBot="1" x14ac:dyDescent="0.25">
      <c r="A8" s="35" t="s">
        <v>48</v>
      </c>
      <c r="B8" s="36">
        <f>B5+(B6/3)</f>
        <v>166</v>
      </c>
      <c r="C8" s="36">
        <f>C5+(C6/3)</f>
        <v>149.66666666666669</v>
      </c>
      <c r="D8" s="36">
        <f>D5+(D6/3)</f>
        <v>140.33333333333334</v>
      </c>
      <c r="E8" s="37">
        <f>E5+(E6/3)</f>
        <v>134.66666666666666</v>
      </c>
      <c r="F8" s="37">
        <f>F5+(F6/3)</f>
        <v>76.666666666666657</v>
      </c>
      <c r="G8" s="38">
        <f>AVERAGE(B8:F8)</f>
        <v>133.46666666666664</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32">
        <v>22</v>
      </c>
      <c r="C11" s="33">
        <v>26</v>
      </c>
      <c r="D11" s="32">
        <v>27</v>
      </c>
      <c r="E11" s="32">
        <v>23</v>
      </c>
      <c r="F11" s="32">
        <v>37</v>
      </c>
      <c r="G11" s="34">
        <f>AVERAGE(B11:F11)</f>
        <v>27</v>
      </c>
    </row>
    <row r="12" spans="1:8" x14ac:dyDescent="0.2">
      <c r="A12" s="31" t="s">
        <v>3</v>
      </c>
      <c r="B12" s="32">
        <v>67</v>
      </c>
      <c r="C12" s="33">
        <v>48</v>
      </c>
      <c r="D12" s="32">
        <v>68</v>
      </c>
      <c r="E12" s="32">
        <v>81</v>
      </c>
      <c r="F12" s="32">
        <v>73</v>
      </c>
      <c r="G12" s="34">
        <f>AVERAGE(B12:F12)</f>
        <v>67.400000000000006</v>
      </c>
    </row>
    <row r="13" spans="1:8" x14ac:dyDescent="0.2">
      <c r="A13" s="13" t="s">
        <v>4</v>
      </c>
      <c r="B13" s="14">
        <f>SUM(B11:B12)</f>
        <v>89</v>
      </c>
      <c r="C13" s="14">
        <f>SUM(C11:C12)</f>
        <v>74</v>
      </c>
      <c r="D13" s="14">
        <f>SUM(D11:D12)</f>
        <v>95</v>
      </c>
      <c r="E13" s="15">
        <f>SUM(E11:E12)</f>
        <v>104</v>
      </c>
      <c r="F13" s="14">
        <f>SUM(F11:F12)</f>
        <v>110</v>
      </c>
      <c r="G13" s="16">
        <f>AVERAGE(B13:F13)</f>
        <v>94.4</v>
      </c>
    </row>
    <row r="14" spans="1:8" ht="13.5" thickBot="1" x14ac:dyDescent="0.25">
      <c r="A14" s="39" t="s">
        <v>48</v>
      </c>
      <c r="B14" s="40">
        <f>B11+(B12/3)</f>
        <v>44.333333333333329</v>
      </c>
      <c r="C14" s="40">
        <f>C11+(C12/3)</f>
        <v>42</v>
      </c>
      <c r="D14" s="40">
        <f>D11+(D12/3)</f>
        <v>49.666666666666671</v>
      </c>
      <c r="E14" s="41">
        <f>E11+(E12/3)</f>
        <v>50</v>
      </c>
      <c r="F14" s="40">
        <f>F11+(F12/3)</f>
        <v>61.333333333333329</v>
      </c>
      <c r="G14" s="42">
        <f>AVERAGE(B14:F14)</f>
        <v>49.466666666666661</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44">
        <v>69</v>
      </c>
      <c r="C18" s="44">
        <f>79+2+15+1</f>
        <v>97</v>
      </c>
      <c r="D18" s="32">
        <v>74</v>
      </c>
      <c r="E18" s="32">
        <v>79</v>
      </c>
      <c r="F18" s="32">
        <v>61</v>
      </c>
      <c r="G18" s="45">
        <f>AVERAGE(B18:F18)</f>
        <v>76</v>
      </c>
    </row>
    <row r="19" spans="1:8" x14ac:dyDescent="0.2">
      <c r="A19" s="46" t="s">
        <v>63</v>
      </c>
      <c r="B19" s="47">
        <v>18</v>
      </c>
      <c r="C19" s="47">
        <v>15</v>
      </c>
      <c r="D19" s="47">
        <v>26</v>
      </c>
      <c r="E19" s="47">
        <v>23</v>
      </c>
      <c r="F19" s="47">
        <v>24</v>
      </c>
      <c r="G19" s="48">
        <f>AVERAGE(B19:F19)</f>
        <v>21.2</v>
      </c>
    </row>
    <row r="20" spans="1:8" ht="13.5" thickBot="1" x14ac:dyDescent="0.25">
      <c r="A20" s="49" t="s">
        <v>4</v>
      </c>
      <c r="B20" s="50">
        <f>B19+B18</f>
        <v>87</v>
      </c>
      <c r="C20" s="50">
        <f t="shared" ref="C20:F20" si="0">C19+C18</f>
        <v>112</v>
      </c>
      <c r="D20" s="50">
        <f t="shared" si="0"/>
        <v>100</v>
      </c>
      <c r="E20" s="50">
        <f t="shared" si="0"/>
        <v>102</v>
      </c>
      <c r="F20" s="50">
        <f t="shared" si="0"/>
        <v>85</v>
      </c>
      <c r="G20" s="51">
        <f>AVERAGE(B20:F20)</f>
        <v>97.2</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4.4927536231884062</v>
      </c>
      <c r="C24" s="54">
        <f>C7/C18</f>
        <v>3.0206185567010309</v>
      </c>
      <c r="D24" s="54">
        <f>D7/D18</f>
        <v>3.3648648648648649</v>
      </c>
      <c r="E24" s="54">
        <f>E7/E18</f>
        <v>3.240506329113924</v>
      </c>
      <c r="F24" s="54">
        <f>F7/F18</f>
        <v>2.459016393442623</v>
      </c>
      <c r="G24" s="45">
        <f>AVERAGE(B24:F24)</f>
        <v>3.3155519534621698</v>
      </c>
    </row>
    <row r="25" spans="1:8" ht="13.5" thickBot="1" x14ac:dyDescent="0.25">
      <c r="A25" s="55" t="s">
        <v>64</v>
      </c>
      <c r="B25" s="56">
        <f>B13/B19</f>
        <v>4.9444444444444446</v>
      </c>
      <c r="C25" s="56">
        <f>C13/C19</f>
        <v>4.9333333333333336</v>
      </c>
      <c r="D25" s="56">
        <f>D13/D19</f>
        <v>3.6538461538461537</v>
      </c>
      <c r="E25" s="56">
        <f>E13/E19</f>
        <v>4.5217391304347823</v>
      </c>
      <c r="F25" s="56">
        <f>F13/F19</f>
        <v>4.583333333333333</v>
      </c>
      <c r="G25" s="57">
        <f>AVERAGE(B25:F25)</f>
        <v>4.5273392790784097</v>
      </c>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4294</v>
      </c>
      <c r="C29" s="61">
        <v>3966</v>
      </c>
      <c r="D29" s="61">
        <v>3630</v>
      </c>
      <c r="E29" s="61">
        <v>3738</v>
      </c>
      <c r="F29" s="61">
        <f>1116+1302+486</f>
        <v>2904</v>
      </c>
      <c r="G29" s="62">
        <f>AVERAGE(B29:F29)</f>
        <v>3706.4</v>
      </c>
    </row>
    <row r="30" spans="1:8" x14ac:dyDescent="0.2">
      <c r="A30" s="60" t="s">
        <v>8</v>
      </c>
      <c r="B30" s="61">
        <v>947</v>
      </c>
      <c r="C30" s="61">
        <v>1068</v>
      </c>
      <c r="D30" s="61">
        <v>1059</v>
      </c>
      <c r="E30" s="61">
        <v>1137</v>
      </c>
      <c r="F30" s="61">
        <f>165+648+666</f>
        <v>1479</v>
      </c>
      <c r="G30" s="62">
        <f>AVERAGE(B30:F30)</f>
        <v>1138</v>
      </c>
    </row>
    <row r="31" spans="1:8" ht="13.5" thickBot="1" x14ac:dyDescent="0.25">
      <c r="A31" s="22" t="s">
        <v>4</v>
      </c>
      <c r="B31" s="23">
        <f>SUM(B29:B30)</f>
        <v>5241</v>
      </c>
      <c r="C31" s="23">
        <f>SUM(C29:C30)</f>
        <v>5034</v>
      </c>
      <c r="D31" s="23">
        <f>SUM(D29:D30)</f>
        <v>4689</v>
      </c>
      <c r="E31" s="23">
        <f>SUM(E29:E30)</f>
        <v>4875</v>
      </c>
      <c r="F31" s="23">
        <f>SUM(F29:F30)</f>
        <v>4383</v>
      </c>
      <c r="G31" s="24">
        <f>AVERAGE(B31:F31)</f>
        <v>4844.3999999999996</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24.7</v>
      </c>
      <c r="C35" s="32">
        <v>22</v>
      </c>
      <c r="D35" s="63">
        <v>21.5</v>
      </c>
      <c r="E35" s="63">
        <v>21.8</v>
      </c>
      <c r="F35" s="63">
        <v>18.5</v>
      </c>
      <c r="G35" s="45">
        <f>AVERAGE(B35:F35)</f>
        <v>21.7</v>
      </c>
    </row>
    <row r="36" spans="1:8" ht="13.5" thickBot="1" x14ac:dyDescent="0.25">
      <c r="A36" s="64" t="s">
        <v>8</v>
      </c>
      <c r="B36" s="65">
        <v>16.5</v>
      </c>
      <c r="C36" s="65">
        <v>14.2</v>
      </c>
      <c r="D36" s="65">
        <v>14.7</v>
      </c>
      <c r="E36" s="65">
        <v>14.2</v>
      </c>
      <c r="F36" s="158">
        <v>17</v>
      </c>
      <c r="G36" s="57">
        <f>AVERAGE(B36:F36)</f>
        <v>15.319999999999999</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7</v>
      </c>
      <c r="C40" s="32">
        <v>10</v>
      </c>
      <c r="D40" s="32">
        <v>11</v>
      </c>
      <c r="E40" s="32">
        <v>10</v>
      </c>
      <c r="F40" s="32">
        <v>9</v>
      </c>
      <c r="G40" s="45">
        <f>AVERAGE(B40:F40)</f>
        <v>9.4</v>
      </c>
    </row>
    <row r="41" spans="1:8" x14ac:dyDescent="0.2">
      <c r="A41" s="60" t="s">
        <v>3</v>
      </c>
      <c r="B41" s="32">
        <v>1</v>
      </c>
      <c r="C41" s="32">
        <v>0</v>
      </c>
      <c r="D41" s="32">
        <v>1</v>
      </c>
      <c r="E41" s="32">
        <v>1</v>
      </c>
      <c r="F41" s="32">
        <v>1</v>
      </c>
      <c r="G41" s="45">
        <f>AVERAGE(B41:F41)</f>
        <v>0.8</v>
      </c>
    </row>
    <row r="42" spans="1:8" x14ac:dyDescent="0.2">
      <c r="A42" s="13" t="s">
        <v>4</v>
      </c>
      <c r="B42" s="14">
        <f>SUM(B40:B41)</f>
        <v>8</v>
      </c>
      <c r="C42" s="14">
        <f>SUM(C40:C41)</f>
        <v>10</v>
      </c>
      <c r="D42" s="14">
        <f>SUM(D40:D41)</f>
        <v>12</v>
      </c>
      <c r="E42" s="14">
        <f>SUM(E40:E41)</f>
        <v>11</v>
      </c>
      <c r="F42" s="14">
        <f>SUM(F40:F41)</f>
        <v>10</v>
      </c>
      <c r="G42" s="17">
        <f>AVERAGE(B42:F42)</f>
        <v>10.199999999999999</v>
      </c>
    </row>
    <row r="43" spans="1:8" ht="13.5" thickBot="1" x14ac:dyDescent="0.25">
      <c r="A43" s="39" t="s">
        <v>49</v>
      </c>
      <c r="B43" s="40">
        <f>B40+B41/3</f>
        <v>7.333333333333333</v>
      </c>
      <c r="C43" s="40">
        <f>C40+C41/3</f>
        <v>10</v>
      </c>
      <c r="D43" s="40">
        <f>D40+D41/3</f>
        <v>11.333333333333334</v>
      </c>
      <c r="E43" s="40">
        <f>E40+E41/3</f>
        <v>10.333333333333334</v>
      </c>
      <c r="F43" s="40">
        <f>F40+F41/3</f>
        <v>9.3333333333333339</v>
      </c>
      <c r="G43" s="67">
        <f>AVERAGE(B43:F43)</f>
        <v>9.6666666666666679</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28.68181818181818</v>
      </c>
      <c r="C47" s="56">
        <f>(C8+C14)/C43</f>
        <v>19.166666666666668</v>
      </c>
      <c r="D47" s="56">
        <f>(D8+D14)/D43</f>
        <v>16.764705882352942</v>
      </c>
      <c r="E47" s="56">
        <f>(E8+E14)/E43</f>
        <v>17.87096774193548</v>
      </c>
      <c r="F47" s="56">
        <f>(F8+F14)/F43</f>
        <v>14.785714285714285</v>
      </c>
      <c r="G47" s="57">
        <f>AVERAGE(B47:F47)</f>
        <v>19.453974551697506</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70">
        <f>B31/B43</f>
        <v>714.68181818181824</v>
      </c>
      <c r="C51" s="71">
        <f>C31/C43</f>
        <v>503.4</v>
      </c>
      <c r="D51" s="71">
        <f>D31/D43</f>
        <v>413.73529411764702</v>
      </c>
      <c r="E51" s="71">
        <f>E31/E43</f>
        <v>471.77419354838707</v>
      </c>
      <c r="F51" s="71">
        <f>F31/F43</f>
        <v>469.60714285714283</v>
      </c>
      <c r="G51" s="72">
        <f>AVERAGE(B51:F51)</f>
        <v>514.63968974099896</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580287</v>
      </c>
      <c r="C55" s="73">
        <f>282957.81+264366.72</f>
        <v>547324.53</v>
      </c>
      <c r="D55" s="73">
        <f>284420.42+191984.32</f>
        <v>476404.74</v>
      </c>
      <c r="E55" s="73">
        <v>509043</v>
      </c>
      <c r="F55" s="73">
        <v>419294</v>
      </c>
      <c r="G55" s="74">
        <f>AVERAGE(B55:F55)</f>
        <v>506470.65399999998</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110.72066399542072</v>
      </c>
      <c r="C59" s="76">
        <f>C55/C31</f>
        <v>108.72557210965435</v>
      </c>
      <c r="D59" s="76">
        <f>D55/D31</f>
        <v>101.6004990403071</v>
      </c>
      <c r="E59" s="76">
        <f>E55/E31</f>
        <v>104.41907692307693</v>
      </c>
      <c r="F59" s="76">
        <f>F55/F31</f>
        <v>95.663700661647269</v>
      </c>
      <c r="G59" s="74">
        <f>AVERAGE(B59:F59)</f>
        <v>104.22590254602127</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79130.045454545456</v>
      </c>
      <c r="C63" s="75">
        <f t="shared" ref="C63:F63" si="1">C55/C43</f>
        <v>54732.453000000001</v>
      </c>
      <c r="D63" s="75">
        <f t="shared" si="1"/>
        <v>42035.712352941177</v>
      </c>
      <c r="E63" s="75">
        <f t="shared" si="1"/>
        <v>49262.225806451614</v>
      </c>
      <c r="F63" s="75">
        <f t="shared" si="1"/>
        <v>44924.357142857138</v>
      </c>
      <c r="G63" s="74">
        <f>AVERAGE(B63:F63)</f>
        <v>54016.958751359067</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186" t="s">
        <v>61</v>
      </c>
      <c r="C1" s="188"/>
      <c r="D1" s="188"/>
      <c r="E1" s="189"/>
      <c r="F1" s="28"/>
      <c r="G1" s="28"/>
      <c r="H1" s="28"/>
    </row>
    <row r="2" spans="1:8" ht="7.5" customHeight="1" thickBot="1" x14ac:dyDescent="0.25">
      <c r="A2" s="189"/>
      <c r="B2" s="189"/>
      <c r="C2" s="189"/>
      <c r="D2" s="189"/>
      <c r="E2" s="189"/>
      <c r="F2" s="189"/>
      <c r="G2" s="28"/>
      <c r="H2" s="28"/>
    </row>
    <row r="3" spans="1:8" ht="15" customHeight="1" x14ac:dyDescent="0.2">
      <c r="A3" s="5" t="s">
        <v>69</v>
      </c>
      <c r="B3" s="6"/>
      <c r="C3" s="6"/>
      <c r="D3" s="6"/>
      <c r="E3" s="6"/>
      <c r="F3" s="6"/>
      <c r="G3" s="7"/>
    </row>
    <row r="4" spans="1:8" x14ac:dyDescent="0.2">
      <c r="A4" s="29" t="s">
        <v>0</v>
      </c>
      <c r="B4" s="4" t="s">
        <v>53</v>
      </c>
      <c r="C4" s="4" t="s">
        <v>56</v>
      </c>
      <c r="D4" s="4" t="s">
        <v>59</v>
      </c>
      <c r="E4" s="4" t="s">
        <v>60</v>
      </c>
      <c r="F4" s="4" t="s">
        <v>67</v>
      </c>
      <c r="G4" s="30" t="s">
        <v>1</v>
      </c>
    </row>
    <row r="5" spans="1:8" x14ac:dyDescent="0.2">
      <c r="A5" s="31" t="s">
        <v>2</v>
      </c>
      <c r="B5" s="32">
        <v>136</v>
      </c>
      <c r="C5" s="33">
        <v>193</v>
      </c>
      <c r="D5" s="32">
        <v>207</v>
      </c>
      <c r="E5" s="32">
        <v>199</v>
      </c>
      <c r="F5" s="32">
        <v>198</v>
      </c>
      <c r="G5" s="34">
        <f>AVERAGE(B5:F5)</f>
        <v>186.6</v>
      </c>
    </row>
    <row r="6" spans="1:8" x14ac:dyDescent="0.2">
      <c r="A6" s="31" t="s">
        <v>3</v>
      </c>
      <c r="B6" s="32">
        <v>34</v>
      </c>
      <c r="C6" s="33">
        <v>62</v>
      </c>
      <c r="D6" s="32">
        <v>54</v>
      </c>
      <c r="E6" s="32">
        <v>53</v>
      </c>
      <c r="F6" s="32">
        <v>49</v>
      </c>
      <c r="G6" s="34">
        <f>AVERAGE(B6:F6)</f>
        <v>50.4</v>
      </c>
    </row>
    <row r="7" spans="1:8" x14ac:dyDescent="0.2">
      <c r="A7" s="13" t="s">
        <v>4</v>
      </c>
      <c r="B7" s="14">
        <f>SUM(B5:B6)</f>
        <v>170</v>
      </c>
      <c r="C7" s="14">
        <f>SUM(C5:C6)</f>
        <v>255</v>
      </c>
      <c r="D7" s="14">
        <f>SUM(D5:D6)</f>
        <v>261</v>
      </c>
      <c r="E7" s="15">
        <f>SUM(E5:E6)</f>
        <v>252</v>
      </c>
      <c r="F7" s="15">
        <f>SUM(F5:F6)</f>
        <v>247</v>
      </c>
      <c r="G7" s="17">
        <f>AVERAGE(B7:F7)</f>
        <v>237</v>
      </c>
    </row>
    <row r="8" spans="1:8" ht="13.5" thickBot="1" x14ac:dyDescent="0.25">
      <c r="A8" s="35" t="s">
        <v>48</v>
      </c>
      <c r="B8" s="36">
        <f>B5+(B6/3)</f>
        <v>147.33333333333334</v>
      </c>
      <c r="C8" s="36">
        <f>C5+(C6/3)</f>
        <v>213.66666666666666</v>
      </c>
      <c r="D8" s="36">
        <f>D5+(D6/3)</f>
        <v>225</v>
      </c>
      <c r="E8" s="37">
        <f>E5+(E6/3)</f>
        <v>216.66666666666666</v>
      </c>
      <c r="F8" s="37">
        <f>F5+(F6/3)</f>
        <v>214.33333333333334</v>
      </c>
      <c r="G8" s="38">
        <f>AVERAGE(B8:F8)</f>
        <v>203.4</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32">
        <v>4</v>
      </c>
      <c r="C11" s="33">
        <v>5</v>
      </c>
      <c r="D11" s="32">
        <v>6</v>
      </c>
      <c r="E11" s="32">
        <v>7</v>
      </c>
      <c r="F11" s="32">
        <v>5</v>
      </c>
      <c r="G11" s="34">
        <f>AVERAGE(B11:F11)</f>
        <v>5.4</v>
      </c>
    </row>
    <row r="12" spans="1:8" x14ac:dyDescent="0.2">
      <c r="A12" s="31" t="s">
        <v>3</v>
      </c>
      <c r="B12" s="32">
        <v>37</v>
      </c>
      <c r="C12" s="33">
        <v>30</v>
      </c>
      <c r="D12" s="32">
        <v>34</v>
      </c>
      <c r="E12" s="32">
        <v>38</v>
      </c>
      <c r="F12" s="32">
        <v>21</v>
      </c>
      <c r="G12" s="34">
        <f>AVERAGE(B12:F12)</f>
        <v>32</v>
      </c>
    </row>
    <row r="13" spans="1:8" x14ac:dyDescent="0.2">
      <c r="A13" s="13" t="s">
        <v>4</v>
      </c>
      <c r="B13" s="14">
        <f>SUM(B11:B12)</f>
        <v>41</v>
      </c>
      <c r="C13" s="14">
        <f>SUM(C11:C12)</f>
        <v>35</v>
      </c>
      <c r="D13" s="14">
        <f>SUM(D11:D12)</f>
        <v>40</v>
      </c>
      <c r="E13" s="15">
        <f>SUM(E11:E12)</f>
        <v>45</v>
      </c>
      <c r="F13" s="14">
        <f>SUM(F11:F12)</f>
        <v>26</v>
      </c>
      <c r="G13" s="16">
        <f>AVERAGE(B13:F13)</f>
        <v>37.4</v>
      </c>
    </row>
    <row r="14" spans="1:8" ht="13.5" thickBot="1" x14ac:dyDescent="0.25">
      <c r="A14" s="39" t="s">
        <v>48</v>
      </c>
      <c r="B14" s="40">
        <f>B11+(B12/3)</f>
        <v>16.333333333333336</v>
      </c>
      <c r="C14" s="40">
        <f>C11+(C12/3)</f>
        <v>15</v>
      </c>
      <c r="D14" s="40">
        <f>D11+(D12/3)</f>
        <v>17.333333333333336</v>
      </c>
      <c r="E14" s="41">
        <f>E11+(E12/3)</f>
        <v>19.666666666666664</v>
      </c>
      <c r="F14" s="40">
        <f>F11+(F12/3)</f>
        <v>12</v>
      </c>
      <c r="G14" s="42">
        <f>AVERAGE(B14:F14)</f>
        <v>16.06666666666667</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20</v>
      </c>
      <c r="C18" s="32">
        <v>25</v>
      </c>
      <c r="D18" s="32">
        <v>29</v>
      </c>
      <c r="E18" s="32">
        <v>41</v>
      </c>
      <c r="F18" s="32">
        <v>33</v>
      </c>
      <c r="G18" s="45">
        <f>AVERAGE(B18:F18)</f>
        <v>29.6</v>
      </c>
    </row>
    <row r="19" spans="1:8" x14ac:dyDescent="0.2">
      <c r="A19" s="46" t="s">
        <v>63</v>
      </c>
      <c r="B19" s="47">
        <v>14</v>
      </c>
      <c r="C19" s="47">
        <v>10</v>
      </c>
      <c r="D19" s="47">
        <v>17</v>
      </c>
      <c r="E19" s="47">
        <v>14</v>
      </c>
      <c r="F19" s="47">
        <v>6</v>
      </c>
      <c r="G19" s="48">
        <f>AVERAGE(B19:F19)</f>
        <v>12.2</v>
      </c>
    </row>
    <row r="20" spans="1:8" ht="13.5" thickBot="1" x14ac:dyDescent="0.25">
      <c r="A20" s="49" t="s">
        <v>4</v>
      </c>
      <c r="B20" s="79">
        <f>B19+B18</f>
        <v>34</v>
      </c>
      <c r="C20" s="79">
        <f t="shared" ref="C20:F20" si="0">C19+C18</f>
        <v>35</v>
      </c>
      <c r="D20" s="79">
        <f t="shared" si="0"/>
        <v>46</v>
      </c>
      <c r="E20" s="79">
        <f t="shared" si="0"/>
        <v>55</v>
      </c>
      <c r="F20" s="79">
        <f t="shared" si="0"/>
        <v>39</v>
      </c>
      <c r="G20" s="51">
        <f>AVERAGE(B20:F20)</f>
        <v>41.8</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8.5</v>
      </c>
      <c r="C24" s="54">
        <f>C7/C18</f>
        <v>10.199999999999999</v>
      </c>
      <c r="D24" s="54">
        <f>D7/D18</f>
        <v>9</v>
      </c>
      <c r="E24" s="54">
        <f>E7/E18</f>
        <v>6.1463414634146343</v>
      </c>
      <c r="F24" s="54">
        <f>F7/F18</f>
        <v>7.4848484848484844</v>
      </c>
      <c r="G24" s="45">
        <f>AVERAGE(B24:F24)</f>
        <v>8.2662379896526232</v>
      </c>
    </row>
    <row r="25" spans="1:8" ht="13.5" thickBot="1" x14ac:dyDescent="0.25">
      <c r="A25" s="55" t="s">
        <v>64</v>
      </c>
      <c r="B25" s="56">
        <f>B13/B19</f>
        <v>2.9285714285714284</v>
      </c>
      <c r="C25" s="56">
        <f>C13/C19</f>
        <v>3.5</v>
      </c>
      <c r="D25" s="56">
        <f>D13/D19</f>
        <v>2.3529411764705883</v>
      </c>
      <c r="E25" s="56">
        <f>E13/E19</f>
        <v>3.2142857142857144</v>
      </c>
      <c r="F25" s="56">
        <f>F13/F19</f>
        <v>4.333333333333333</v>
      </c>
      <c r="G25" s="57">
        <f>AVERAGE(B25:F25)</f>
        <v>3.2658263305322128</v>
      </c>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5154</v>
      </c>
      <c r="C29" s="61">
        <v>6900</v>
      </c>
      <c r="D29" s="61">
        <f>459+6330</f>
        <v>6789</v>
      </c>
      <c r="E29" s="61">
        <v>6231</v>
      </c>
      <c r="F29" s="61">
        <v>5943</v>
      </c>
      <c r="G29" s="62">
        <f>AVERAGE(B29:F29)</f>
        <v>6203.4</v>
      </c>
    </row>
    <row r="30" spans="1:8" x14ac:dyDescent="0.2">
      <c r="A30" s="60" t="s">
        <v>8</v>
      </c>
      <c r="B30" s="61">
        <v>1089</v>
      </c>
      <c r="C30" s="61">
        <v>1017</v>
      </c>
      <c r="D30" s="61">
        <f>66+702</f>
        <v>768</v>
      </c>
      <c r="E30" s="61">
        <v>828</v>
      </c>
      <c r="F30" s="61">
        <v>657</v>
      </c>
      <c r="G30" s="62">
        <f>AVERAGE(B30:F30)</f>
        <v>871.8</v>
      </c>
    </row>
    <row r="31" spans="1:8" ht="13.5" thickBot="1" x14ac:dyDescent="0.25">
      <c r="A31" s="22" t="s">
        <v>4</v>
      </c>
      <c r="B31" s="23">
        <f>SUM(B29:B30)</f>
        <v>6243</v>
      </c>
      <c r="C31" s="23">
        <f>SUM(C29:C30)</f>
        <v>7917</v>
      </c>
      <c r="D31" s="23">
        <f>SUM(D29:D30)</f>
        <v>7557</v>
      </c>
      <c r="E31" s="23">
        <f>SUM(E29:E30)</f>
        <v>7059</v>
      </c>
      <c r="F31" s="23">
        <f>SUM(F29:F30)</f>
        <v>6600</v>
      </c>
      <c r="G31" s="24">
        <f>AVERAGE(B31:F31)</f>
        <v>7075.2</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21.5</v>
      </c>
      <c r="C35" s="32">
        <v>21.5</v>
      </c>
      <c r="D35" s="63">
        <v>19.899999999999999</v>
      </c>
      <c r="E35" s="63">
        <v>20</v>
      </c>
      <c r="F35" s="63">
        <v>19.7</v>
      </c>
      <c r="G35" s="45">
        <f>AVERAGE(B35:F35)</f>
        <v>20.520000000000003</v>
      </c>
    </row>
    <row r="36" spans="1:8" ht="13.5" thickBot="1" x14ac:dyDescent="0.25">
      <c r="A36" s="64" t="s">
        <v>8</v>
      </c>
      <c r="B36" s="65">
        <v>19.5</v>
      </c>
      <c r="C36" s="65">
        <v>21.8</v>
      </c>
      <c r="D36" s="65">
        <v>24.9</v>
      </c>
      <c r="E36" s="65">
        <v>21.6</v>
      </c>
      <c r="F36" s="65">
        <v>23.4</v>
      </c>
      <c r="G36" s="57">
        <f>AVERAGE(B36:F36)</f>
        <v>22.24</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10</v>
      </c>
      <c r="C40" s="32">
        <v>10</v>
      </c>
      <c r="D40" s="32">
        <v>12</v>
      </c>
      <c r="E40" s="32">
        <v>14</v>
      </c>
      <c r="F40" s="32">
        <v>12</v>
      </c>
      <c r="G40" s="45">
        <f>AVERAGE(B40:F40)</f>
        <v>11.6</v>
      </c>
    </row>
    <row r="41" spans="1:8" x14ac:dyDescent="0.2">
      <c r="A41" s="60" t="s">
        <v>3</v>
      </c>
      <c r="B41" s="32">
        <v>4</v>
      </c>
      <c r="C41" s="32">
        <v>3</v>
      </c>
      <c r="D41" s="32">
        <v>3</v>
      </c>
      <c r="E41" s="32">
        <v>3</v>
      </c>
      <c r="F41" s="32">
        <v>2</v>
      </c>
      <c r="G41" s="45">
        <f>AVERAGE(B41:F41)</f>
        <v>3</v>
      </c>
    </row>
    <row r="42" spans="1:8" x14ac:dyDescent="0.2">
      <c r="A42" s="13" t="s">
        <v>4</v>
      </c>
      <c r="B42" s="14">
        <f>SUM(B40:B41)</f>
        <v>14</v>
      </c>
      <c r="C42" s="14">
        <f>SUM(C40:C41)</f>
        <v>13</v>
      </c>
      <c r="D42" s="14">
        <f>SUM(D40:D41)</f>
        <v>15</v>
      </c>
      <c r="E42" s="14">
        <f>SUM(E40:E41)</f>
        <v>17</v>
      </c>
      <c r="F42" s="14">
        <f>SUM(F40:F41)</f>
        <v>14</v>
      </c>
      <c r="G42" s="17">
        <f>AVERAGE(B42:F42)</f>
        <v>14.6</v>
      </c>
    </row>
    <row r="43" spans="1:8" ht="13.5" thickBot="1" x14ac:dyDescent="0.25">
      <c r="A43" s="39" t="s">
        <v>49</v>
      </c>
      <c r="B43" s="40">
        <f>B40+(B41/3)</f>
        <v>11.333333333333334</v>
      </c>
      <c r="C43" s="40">
        <f>C40+(C41/3)</f>
        <v>11</v>
      </c>
      <c r="D43" s="40">
        <f>D40+(D41/3)</f>
        <v>13</v>
      </c>
      <c r="E43" s="40">
        <f>E40+(E41/3)</f>
        <v>15</v>
      </c>
      <c r="F43" s="40">
        <f>F40+(F41/3)</f>
        <v>12.666666666666666</v>
      </c>
      <c r="G43" s="67">
        <f>AVERAGE(B43:F43)</f>
        <v>12.6</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 + B14)/B43</f>
        <v>14.441176470588236</v>
      </c>
      <c r="C47" s="56">
        <f>(C8 + C14)/C43</f>
        <v>20.787878787878785</v>
      </c>
      <c r="D47" s="56">
        <f>(D8 + D14)/D43</f>
        <v>18.641025641025642</v>
      </c>
      <c r="E47" s="56">
        <f>(E8 + E14)/E43</f>
        <v>15.755555555555555</v>
      </c>
      <c r="F47" s="56">
        <f>(F8 + F14)/F43</f>
        <v>17.868421052631579</v>
      </c>
      <c r="G47" s="57">
        <f>AVERAGE(B47:F47)</f>
        <v>17.498811501535961</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550.85294117647061</v>
      </c>
      <c r="C51" s="56">
        <f>C31/C43</f>
        <v>719.72727272727275</v>
      </c>
      <c r="D51" s="56">
        <f>D31/D43</f>
        <v>581.30769230769226</v>
      </c>
      <c r="E51" s="56">
        <f>E31/E43</f>
        <v>470.6</v>
      </c>
      <c r="F51" s="56">
        <f>F31/F43</f>
        <v>521.0526315789474</v>
      </c>
      <c r="G51" s="57">
        <f>AVERAGE(B51:F51)</f>
        <v>568.70810755807656</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751955</v>
      </c>
      <c r="C55" s="73">
        <v>1108031</v>
      </c>
      <c r="D55" s="73">
        <v>1323111</v>
      </c>
      <c r="E55" s="73">
        <v>1357428</v>
      </c>
      <c r="F55" s="73">
        <v>1122917</v>
      </c>
      <c r="G55" s="74">
        <f>AVERAGE(B55:F55)</f>
        <v>1132688.3999999999</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120.44770142559666</v>
      </c>
      <c r="C59" s="76">
        <f>C55/C31</f>
        <v>139.95591764557281</v>
      </c>
      <c r="D59" s="76">
        <f>D55/D31</f>
        <v>175.0841603811036</v>
      </c>
      <c r="E59" s="76">
        <f>E55/E31</f>
        <v>192.29749256268593</v>
      </c>
      <c r="F59" s="76">
        <f>F55/F31</f>
        <v>170.13893939393938</v>
      </c>
      <c r="G59" s="74">
        <f>AVERAGE(B59:F59)</f>
        <v>159.58484228177969</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66348.970588235286</v>
      </c>
      <c r="C63" s="75">
        <f t="shared" ref="C63:F63" si="1">C55/C43</f>
        <v>100730.09090909091</v>
      </c>
      <c r="D63" s="75">
        <f t="shared" si="1"/>
        <v>101777.76923076923</v>
      </c>
      <c r="E63" s="75">
        <f t="shared" si="1"/>
        <v>90495.2</v>
      </c>
      <c r="F63" s="75">
        <f t="shared" si="1"/>
        <v>88651.34210526316</v>
      </c>
      <c r="G63" s="74">
        <f>AVERAGE(B63:F63)</f>
        <v>89600.674566671718</v>
      </c>
    </row>
  </sheetData>
  <mergeCells count="2">
    <mergeCell ref="B1:E1"/>
    <mergeCell ref="A2:F2"/>
  </mergeCells>
  <phoneticPr fontId="2" type="noConversion"/>
  <printOptions horizontalCentered="1" verticalCentered="1"/>
  <pageMargins left="0.75" right="0.75" top="0.5" bottom="0.5" header="0.5" footer="0.5"/>
  <pageSetup orientation="portrait" r:id="rId1"/>
  <headerFooter alignWithMargins="0">
    <oddFooter xml:space="preserve">&amp;L&amp;8*Computer Science was moved to Computer Information Systems in 2011&amp;R&amp;8Prepared by:  OIRPA (np)
&amp;F  &amp;A
</oddFooter>
  </headerFooter>
  <rowBreaks count="1" manualBreakCount="1">
    <brk id="26"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4"/>
  </sheetPr>
  <dimension ref="A1:M62"/>
  <sheetViews>
    <sheetView zoomScaleNormal="100" workbookViewId="0">
      <selection activeCell="D35" sqref="D35"/>
    </sheetView>
  </sheetViews>
  <sheetFormatPr defaultRowHeight="12.75" x14ac:dyDescent="0.2"/>
  <cols>
    <col min="1" max="1" width="15.140625" style="3" customWidth="1"/>
    <col min="2" max="4" width="12.28515625" style="166" bestFit="1" customWidth="1"/>
    <col min="5" max="5" width="15" style="166" bestFit="1" customWidth="1"/>
    <col min="6" max="6" width="12.28515625" style="166" bestFit="1" customWidth="1"/>
    <col min="7" max="7" width="14.140625" style="166" customWidth="1"/>
    <col min="8" max="8" width="11.7109375" style="3" customWidth="1"/>
    <col min="9" max="16384" width="9.140625" style="3"/>
  </cols>
  <sheetData>
    <row r="1" spans="1:13" x14ac:dyDescent="0.2">
      <c r="A1" s="28" t="s">
        <v>13</v>
      </c>
      <c r="B1" s="194" t="s">
        <v>44</v>
      </c>
      <c r="C1" s="195"/>
      <c r="D1" s="196"/>
      <c r="E1" s="160"/>
      <c r="F1" s="160"/>
      <c r="G1" s="160"/>
    </row>
    <row r="2" spans="1:13" ht="7.5" customHeight="1" thickBot="1" x14ac:dyDescent="0.25">
      <c r="A2" s="28" t="s">
        <v>38</v>
      </c>
      <c r="B2" s="161"/>
      <c r="C2" s="161"/>
      <c r="D2" s="161"/>
      <c r="E2" s="161"/>
      <c r="F2" s="161"/>
      <c r="G2" s="161"/>
    </row>
    <row r="3" spans="1:13" x14ac:dyDescent="0.2">
      <c r="A3" s="197" t="s">
        <v>69</v>
      </c>
      <c r="B3" s="198"/>
      <c r="C3" s="198"/>
      <c r="D3" s="198"/>
      <c r="E3" s="198"/>
      <c r="F3" s="198"/>
      <c r="G3" s="199"/>
    </row>
    <row r="4" spans="1:13" x14ac:dyDescent="0.2">
      <c r="A4" s="13" t="s">
        <v>0</v>
      </c>
      <c r="B4" s="184" t="s">
        <v>53</v>
      </c>
      <c r="C4" s="184" t="s">
        <v>55</v>
      </c>
      <c r="D4" s="184" t="s">
        <v>59</v>
      </c>
      <c r="E4" s="184" t="s">
        <v>60</v>
      </c>
      <c r="F4" s="184" t="s">
        <v>67</v>
      </c>
      <c r="G4" s="185" t="s">
        <v>1</v>
      </c>
    </row>
    <row r="5" spans="1:13" x14ac:dyDescent="0.2">
      <c r="A5" s="60" t="s">
        <v>2</v>
      </c>
      <c r="B5" s="162">
        <f>SUM(ACBL:NEC!B5)</f>
        <v>5413</v>
      </c>
      <c r="C5" s="162">
        <f>SUM(ACBL:NEC!C5)</f>
        <v>5251</v>
      </c>
      <c r="D5" s="162">
        <f>SUM(ACBL:NEC!D5)</f>
        <v>5215</v>
      </c>
      <c r="E5" s="162">
        <f>SUM(ACBL:NEC!E5)</f>
        <v>5058</v>
      </c>
      <c r="F5" s="162">
        <f>SUM(ACBL:NEC!F5)</f>
        <v>4879</v>
      </c>
      <c r="G5" s="171">
        <f>AVERAGE(B5:$E5)</f>
        <v>5234.25</v>
      </c>
    </row>
    <row r="6" spans="1:13" x14ac:dyDescent="0.2">
      <c r="A6" s="60" t="s">
        <v>3</v>
      </c>
      <c r="B6" s="162">
        <f>SUM(ACBL:NEC!B6)</f>
        <v>1117</v>
      </c>
      <c r="C6" s="162">
        <f>SUM(ACBL:NEC!C6)</f>
        <v>1195</v>
      </c>
      <c r="D6" s="162">
        <f>SUM(ACBL:NEC!D6)</f>
        <v>1026</v>
      </c>
      <c r="E6" s="162">
        <f>SUM(ACBL:NEC!E6)</f>
        <v>1045</v>
      </c>
      <c r="F6" s="162">
        <f>SUM(ACBL:NEC!F6)</f>
        <v>1111</v>
      </c>
      <c r="G6" s="171">
        <f>AVERAGE(B6:$E6)</f>
        <v>1095.75</v>
      </c>
      <c r="I6" s="163"/>
      <c r="J6" s="163"/>
      <c r="K6" s="163"/>
      <c r="L6" s="163"/>
      <c r="M6" s="163"/>
    </row>
    <row r="7" spans="1:13" x14ac:dyDescent="0.2">
      <c r="A7" s="53" t="s">
        <v>4</v>
      </c>
      <c r="B7" s="162">
        <f>SUM(ACBL:NEC!B7)</f>
        <v>6530</v>
      </c>
      <c r="C7" s="162">
        <f>SUM(ACBL:NEC!C7)</f>
        <v>6446</v>
      </c>
      <c r="D7" s="162">
        <f>SUM(ACBL:NEC!D7)</f>
        <v>6241</v>
      </c>
      <c r="E7" s="162">
        <f>SUM(ACBL:NEC!E7)</f>
        <v>6103</v>
      </c>
      <c r="F7" s="162">
        <f>SUM(ACBL:NEC!F7)</f>
        <v>5990</v>
      </c>
      <c r="G7" s="171">
        <f>AVERAGE(B7:$E7)</f>
        <v>6330</v>
      </c>
    </row>
    <row r="8" spans="1:13" x14ac:dyDescent="0.2">
      <c r="A8" s="172" t="s">
        <v>48</v>
      </c>
      <c r="B8" s="164">
        <f>SUM(ACBL:NEC!B8)</f>
        <v>5785.3333333333339</v>
      </c>
      <c r="C8" s="164">
        <f>SUM(ACBL:NEC!C8)</f>
        <v>5649.3333333333339</v>
      </c>
      <c r="D8" s="164">
        <f>SUM(ACBL:NEC!D8)</f>
        <v>5556.9999999999991</v>
      </c>
      <c r="E8" s="164">
        <f>SUM(ACBL:NEC!E8)</f>
        <v>5406.333333333333</v>
      </c>
      <c r="F8" s="164">
        <f>SUM(ACBL:NEC!F8)</f>
        <v>5249.3333333333348</v>
      </c>
      <c r="G8" s="173">
        <f>AVERAGE(B8:$E8)</f>
        <v>5599.5</v>
      </c>
    </row>
    <row r="9" spans="1:13" ht="7.5" customHeight="1" x14ac:dyDescent="0.2">
      <c r="A9" s="53"/>
      <c r="B9" s="162"/>
      <c r="C9" s="162"/>
      <c r="D9" s="162"/>
      <c r="E9" s="162"/>
      <c r="F9" s="162"/>
      <c r="G9" s="171"/>
    </row>
    <row r="10" spans="1:13" x14ac:dyDescent="0.2">
      <c r="A10" s="13" t="s">
        <v>5</v>
      </c>
      <c r="B10" s="184" t="s">
        <v>53</v>
      </c>
      <c r="C10" s="184" t="s">
        <v>55</v>
      </c>
      <c r="D10" s="184" t="s">
        <v>59</v>
      </c>
      <c r="E10" s="184" t="s">
        <v>60</v>
      </c>
      <c r="F10" s="184" t="s">
        <v>67</v>
      </c>
      <c r="G10" s="185" t="s">
        <v>1</v>
      </c>
    </row>
    <row r="11" spans="1:13" x14ac:dyDescent="0.2">
      <c r="A11" s="60" t="s">
        <v>2</v>
      </c>
      <c r="B11" s="162">
        <f>SUM(ACBL:NEC!B11)</f>
        <v>437</v>
      </c>
      <c r="C11" s="162">
        <f>SUM(ACBL:NEC!C11)</f>
        <v>432</v>
      </c>
      <c r="D11" s="162">
        <f>SUM(ACBL:NEC!D11)</f>
        <v>370</v>
      </c>
      <c r="E11" s="162">
        <f>SUM(ACBL:NEC!E11)</f>
        <v>323</v>
      </c>
      <c r="F11" s="162">
        <f>SUM(ACBL:NEC!F11)</f>
        <v>335</v>
      </c>
      <c r="G11" s="171">
        <f>AVERAGE(B11:$E11)</f>
        <v>390.5</v>
      </c>
    </row>
    <row r="12" spans="1:13" x14ac:dyDescent="0.2">
      <c r="A12" s="60" t="s">
        <v>3</v>
      </c>
      <c r="B12" s="162">
        <f>SUM(ACBL:NEC!B12)</f>
        <v>891</v>
      </c>
      <c r="C12" s="162">
        <f>SUM(ACBL:NEC!C12)</f>
        <v>873</v>
      </c>
      <c r="D12" s="162">
        <f>SUM(ACBL:NEC!D12)</f>
        <v>833</v>
      </c>
      <c r="E12" s="162">
        <f>SUM(ACBL:NEC!E12)</f>
        <v>814</v>
      </c>
      <c r="F12" s="162">
        <f>SUM(ACBL:NEC!F12)</f>
        <v>822</v>
      </c>
      <c r="G12" s="171">
        <f>AVERAGE(B12:$E12)</f>
        <v>852.75</v>
      </c>
    </row>
    <row r="13" spans="1:13" x14ac:dyDescent="0.2">
      <c r="A13" s="53" t="s">
        <v>4</v>
      </c>
      <c r="B13" s="162">
        <f>SUM(ACBL:NEC!B13)</f>
        <v>1328</v>
      </c>
      <c r="C13" s="162">
        <f>SUM(ACBL:NEC!C13)</f>
        <v>1305</v>
      </c>
      <c r="D13" s="162">
        <f>SUM(ACBL:NEC!D13)</f>
        <v>1203</v>
      </c>
      <c r="E13" s="162">
        <f>SUM(ACBL:NEC!E13)</f>
        <v>1137</v>
      </c>
      <c r="F13" s="162">
        <f>SUM(ACBL:NEC!F13)</f>
        <v>1157</v>
      </c>
      <c r="G13" s="171">
        <f>AVERAGE(B13:$E13)</f>
        <v>1243.25</v>
      </c>
    </row>
    <row r="14" spans="1:13" ht="13.5" thickBot="1" x14ac:dyDescent="0.25">
      <c r="A14" s="39" t="s">
        <v>48</v>
      </c>
      <c r="B14" s="174">
        <f>SUM(ACBL:NEC!B14)</f>
        <v>734.00000000000011</v>
      </c>
      <c r="C14" s="174">
        <f>SUM(ACBL:NEC!C14)</f>
        <v>723.00000000000011</v>
      </c>
      <c r="D14" s="174">
        <f>SUM(ACBL:NEC!D14)</f>
        <v>647.66666666666663</v>
      </c>
      <c r="E14" s="174">
        <f>SUM(ACBL:NEC!E14)</f>
        <v>594.33333333333348</v>
      </c>
      <c r="F14" s="174">
        <f>SUM(ACBL:NEC!F14)</f>
        <v>609.00000000000011</v>
      </c>
      <c r="G14" s="175">
        <f>AVERAGE(B14:$E14)</f>
        <v>674.75000000000011</v>
      </c>
    </row>
    <row r="15" spans="1:13" ht="7.5" customHeight="1" thickBot="1" x14ac:dyDescent="0.25"/>
    <row r="16" spans="1:13" x14ac:dyDescent="0.2">
      <c r="A16" s="191" t="s">
        <v>21</v>
      </c>
      <c r="B16" s="192"/>
      <c r="C16" s="192"/>
      <c r="D16" s="192"/>
      <c r="E16" s="192"/>
      <c r="F16" s="192"/>
      <c r="G16" s="193"/>
    </row>
    <row r="17" spans="1:7" x14ac:dyDescent="0.2">
      <c r="A17" s="13" t="s">
        <v>7</v>
      </c>
      <c r="B17" s="184" t="s">
        <v>53</v>
      </c>
      <c r="C17" s="184" t="s">
        <v>55</v>
      </c>
      <c r="D17" s="184" t="s">
        <v>59</v>
      </c>
      <c r="E17" s="184" t="s">
        <v>60</v>
      </c>
      <c r="F17" s="184" t="s">
        <v>67</v>
      </c>
      <c r="G17" s="185" t="s">
        <v>1</v>
      </c>
    </row>
    <row r="18" spans="1:7" x14ac:dyDescent="0.2">
      <c r="A18" s="43" t="s">
        <v>75</v>
      </c>
      <c r="B18" s="162">
        <f>SUM(ACBL:NEC!B18)</f>
        <v>971</v>
      </c>
      <c r="C18" s="162">
        <f>SUM(ACBL:NEC!C18)</f>
        <v>1028</v>
      </c>
      <c r="D18" s="162">
        <f>SUM(ACBL:NEC!D18)</f>
        <v>1021</v>
      </c>
      <c r="E18" s="162">
        <f>SUM(ACBL:NEC!E18)</f>
        <v>1137</v>
      </c>
      <c r="F18" s="162">
        <f>SUM(ACBL:NEC!F18)</f>
        <v>1016</v>
      </c>
      <c r="G18" s="176">
        <f>AVERAGE(B18:F18)</f>
        <v>1034.5999999999999</v>
      </c>
    </row>
    <row r="19" spans="1:7" x14ac:dyDescent="0.2">
      <c r="A19" s="43" t="s">
        <v>76</v>
      </c>
      <c r="B19" s="167">
        <f>SUM(ACBL:NEC!B19)</f>
        <v>363</v>
      </c>
      <c r="C19" s="167">
        <f>SUM(ACBL:NEC!C19)</f>
        <v>358</v>
      </c>
      <c r="D19" s="167">
        <f>SUM(ACBL:NEC!D19)</f>
        <v>334</v>
      </c>
      <c r="E19" s="167">
        <f>SUM(ACBL:NEC!E19)</f>
        <v>334</v>
      </c>
      <c r="F19" s="167">
        <f>SUM(ACBL:NEC!F19)</f>
        <v>308</v>
      </c>
      <c r="G19" s="176">
        <f>AVERAGE(B19:F19)</f>
        <v>339.4</v>
      </c>
    </row>
    <row r="20" spans="1:7" ht="13.5" thickBot="1" x14ac:dyDescent="0.25">
      <c r="A20" s="22" t="s">
        <v>4</v>
      </c>
      <c r="B20" s="180">
        <f t="shared" ref="B20:G20" si="0">B19+B18</f>
        <v>1334</v>
      </c>
      <c r="C20" s="180">
        <f t="shared" si="0"/>
        <v>1386</v>
      </c>
      <c r="D20" s="180">
        <f t="shared" si="0"/>
        <v>1355</v>
      </c>
      <c r="E20" s="180">
        <f t="shared" si="0"/>
        <v>1471</v>
      </c>
      <c r="F20" s="180">
        <f t="shared" si="0"/>
        <v>1324</v>
      </c>
      <c r="G20" s="181">
        <f t="shared" si="0"/>
        <v>1374</v>
      </c>
    </row>
    <row r="21" spans="1:7" ht="7.5" customHeight="1" thickBot="1" x14ac:dyDescent="0.25"/>
    <row r="22" spans="1:7" x14ac:dyDescent="0.2">
      <c r="A22" s="191" t="s">
        <v>22</v>
      </c>
      <c r="B22" s="192"/>
      <c r="C22" s="192"/>
      <c r="D22" s="192"/>
      <c r="E22" s="192"/>
      <c r="F22" s="192"/>
      <c r="G22" s="193"/>
    </row>
    <row r="23" spans="1:7" x14ac:dyDescent="0.2">
      <c r="A23" s="170"/>
      <c r="B23" s="184" t="s">
        <v>53</v>
      </c>
      <c r="C23" s="184" t="s">
        <v>55</v>
      </c>
      <c r="D23" s="184" t="s">
        <v>59</v>
      </c>
      <c r="E23" s="184" t="s">
        <v>60</v>
      </c>
      <c r="F23" s="184" t="s">
        <v>67</v>
      </c>
      <c r="G23" s="185" t="s">
        <v>1</v>
      </c>
    </row>
    <row r="24" spans="1:7" x14ac:dyDescent="0.2">
      <c r="A24" s="108" t="s">
        <v>65</v>
      </c>
      <c r="B24" s="162">
        <f>B7/B18</f>
        <v>6.7250257466529355</v>
      </c>
      <c r="C24" s="162">
        <f>C7/C18</f>
        <v>6.2704280155642023</v>
      </c>
      <c r="D24" s="162">
        <f>D7/D18</f>
        <v>6.1126346718903033</v>
      </c>
      <c r="E24" s="162">
        <f>E7/E18</f>
        <v>5.3676341248900616</v>
      </c>
      <c r="F24" s="162">
        <f>F7/F18</f>
        <v>5.8956692913385824</v>
      </c>
      <c r="G24" s="171">
        <f>AVERAGE(B24:$F24)</f>
        <v>6.0742783700672174</v>
      </c>
    </row>
    <row r="25" spans="1:7" ht="13.5" thickBot="1" x14ac:dyDescent="0.25">
      <c r="A25" s="109" t="s">
        <v>64</v>
      </c>
      <c r="B25" s="177">
        <f>B13/B19</f>
        <v>3.6584022038567494</v>
      </c>
      <c r="C25" s="177">
        <f>C13/C19</f>
        <v>3.6452513966480447</v>
      </c>
      <c r="D25" s="177">
        <f>D13/D19</f>
        <v>3.6017964071856285</v>
      </c>
      <c r="E25" s="177">
        <f>E13/E19</f>
        <v>3.4041916167664672</v>
      </c>
      <c r="F25" s="177">
        <f>F13/F19</f>
        <v>3.7564935064935066</v>
      </c>
      <c r="G25" s="178">
        <f>AVERAGE(B25:$F25)</f>
        <v>3.6132270261900792</v>
      </c>
    </row>
    <row r="26" spans="1:7" ht="7.5" customHeight="1" thickBot="1" x14ac:dyDescent="0.25"/>
    <row r="27" spans="1:7" x14ac:dyDescent="0.2">
      <c r="A27" s="191" t="s">
        <v>68</v>
      </c>
      <c r="B27" s="192"/>
      <c r="C27" s="192"/>
      <c r="D27" s="192"/>
      <c r="E27" s="192"/>
      <c r="F27" s="192"/>
      <c r="G27" s="193"/>
    </row>
    <row r="28" spans="1:7" x14ac:dyDescent="0.2">
      <c r="A28" s="13" t="s">
        <v>7</v>
      </c>
      <c r="B28" s="184" t="s">
        <v>53</v>
      </c>
      <c r="C28" s="184" t="s">
        <v>55</v>
      </c>
      <c r="D28" s="184" t="s">
        <v>59</v>
      </c>
      <c r="E28" s="184" t="s">
        <v>60</v>
      </c>
      <c r="F28" s="184" t="s">
        <v>67</v>
      </c>
      <c r="G28" s="185" t="s">
        <v>1</v>
      </c>
    </row>
    <row r="29" spans="1:7" x14ac:dyDescent="0.2">
      <c r="A29" s="60" t="s">
        <v>41</v>
      </c>
      <c r="B29" s="162">
        <f>SUM(ACBL:NEC!B29)</f>
        <v>162755</v>
      </c>
      <c r="C29" s="162">
        <f>SUM(ACBL:NEC!C29)</f>
        <v>160243</v>
      </c>
      <c r="D29" s="162">
        <f>SUM(ACBL:NEC!D29)</f>
        <v>158086</v>
      </c>
      <c r="E29" s="162">
        <f>SUM(ACBL:NEC!E29)</f>
        <v>153060</v>
      </c>
      <c r="F29" s="162">
        <f>SUM(ACBL:NEC!F29)</f>
        <v>147101</v>
      </c>
      <c r="G29" s="171">
        <f>AVERAGE(B29:$E29)</f>
        <v>158536</v>
      </c>
    </row>
    <row r="30" spans="1:7" x14ac:dyDescent="0.2">
      <c r="A30" s="60" t="s">
        <v>8</v>
      </c>
      <c r="B30" s="162">
        <f>SUM(ACBL:NEC!B30)</f>
        <v>16367</v>
      </c>
      <c r="C30" s="162">
        <f>SUM(ACBL:NEC!C30)</f>
        <v>14986</v>
      </c>
      <c r="D30" s="162">
        <f>SUM(ACBL:NEC!D30)</f>
        <v>14234</v>
      </c>
      <c r="E30" s="162">
        <f>SUM(ACBL:NEC!E30)</f>
        <v>14368</v>
      </c>
      <c r="F30" s="162">
        <f>SUM(ACBL:NEC!F30)</f>
        <v>14682</v>
      </c>
      <c r="G30" s="171">
        <f>AVERAGE(B30:$E30)</f>
        <v>14988.75</v>
      </c>
    </row>
    <row r="31" spans="1:7" ht="13.5" thickBot="1" x14ac:dyDescent="0.25">
      <c r="A31" s="22" t="s">
        <v>4</v>
      </c>
      <c r="B31" s="180">
        <f>SUM(ACBL:NEC!B31)</f>
        <v>179122</v>
      </c>
      <c r="C31" s="180">
        <f>SUM(ACBL:NEC!C31)</f>
        <v>175229</v>
      </c>
      <c r="D31" s="180">
        <f>SUM(ACBL:NEC!D31)</f>
        <v>172320</v>
      </c>
      <c r="E31" s="180">
        <f>SUM(ACBL:NEC!E31)</f>
        <v>167428</v>
      </c>
      <c r="F31" s="180">
        <f>SUM(ACBL:NEC!F31)</f>
        <v>161783</v>
      </c>
      <c r="G31" s="181">
        <f>AVERAGE(B31:$E31)</f>
        <v>173524.75</v>
      </c>
    </row>
    <row r="32" spans="1:7" ht="7.5" customHeight="1" thickBot="1" x14ac:dyDescent="0.25"/>
    <row r="33" spans="1:7" x14ac:dyDescent="0.2">
      <c r="A33" s="191" t="s">
        <v>46</v>
      </c>
      <c r="B33" s="192"/>
      <c r="C33" s="192"/>
      <c r="D33" s="192"/>
      <c r="E33" s="192"/>
      <c r="F33" s="192"/>
      <c r="G33" s="193"/>
    </row>
    <row r="34" spans="1:7" x14ac:dyDescent="0.2">
      <c r="A34" s="13" t="s">
        <v>7</v>
      </c>
      <c r="B34" s="184" t="s">
        <v>53</v>
      </c>
      <c r="C34" s="184" t="s">
        <v>55</v>
      </c>
      <c r="D34" s="184" t="s">
        <v>59</v>
      </c>
      <c r="E34" s="184" t="s">
        <v>60</v>
      </c>
      <c r="F34" s="184" t="s">
        <v>67</v>
      </c>
      <c r="G34" s="185" t="s">
        <v>1</v>
      </c>
    </row>
    <row r="35" spans="1:7" x14ac:dyDescent="0.2">
      <c r="A35" s="60" t="s">
        <v>41</v>
      </c>
      <c r="B35" s="162">
        <v>25.9</v>
      </c>
      <c r="C35" s="162">
        <v>23.7</v>
      </c>
      <c r="D35" s="162">
        <v>23.1</v>
      </c>
      <c r="E35" s="162">
        <v>22.3</v>
      </c>
      <c r="F35" s="162">
        <v>21.8</v>
      </c>
      <c r="G35" s="171">
        <f>AVERAGE(B35:$D35)</f>
        <v>24.233333333333331</v>
      </c>
    </row>
    <row r="36" spans="1:7" ht="13.5" thickBot="1" x14ac:dyDescent="0.25">
      <c r="A36" s="64" t="s">
        <v>8</v>
      </c>
      <c r="B36" s="177">
        <v>20.9</v>
      </c>
      <c r="C36" s="177">
        <v>18.899999999999999</v>
      </c>
      <c r="D36" s="177">
        <v>17.5</v>
      </c>
      <c r="E36" s="177">
        <v>17.100000000000001</v>
      </c>
      <c r="F36" s="177">
        <v>17.8</v>
      </c>
      <c r="G36" s="178">
        <f>AVERAGE(B36:$D36)</f>
        <v>19.099999999999998</v>
      </c>
    </row>
    <row r="37" spans="1:7" ht="7.5" customHeight="1" thickBot="1" x14ac:dyDescent="0.25">
      <c r="A37" s="66"/>
      <c r="B37" s="168"/>
      <c r="C37" s="168"/>
      <c r="D37" s="169"/>
      <c r="E37" s="169"/>
      <c r="F37" s="165"/>
    </row>
    <row r="38" spans="1:7" x14ac:dyDescent="0.2">
      <c r="A38" s="191" t="s">
        <v>47</v>
      </c>
      <c r="B38" s="192"/>
      <c r="C38" s="192"/>
      <c r="D38" s="192"/>
      <c r="E38" s="192"/>
      <c r="F38" s="192"/>
      <c r="G38" s="193"/>
    </row>
    <row r="39" spans="1:7" x14ac:dyDescent="0.2">
      <c r="A39" s="13" t="s">
        <v>9</v>
      </c>
      <c r="B39" s="184" t="s">
        <v>53</v>
      </c>
      <c r="C39" s="184" t="s">
        <v>55</v>
      </c>
      <c r="D39" s="184" t="s">
        <v>59</v>
      </c>
      <c r="E39" s="184" t="s">
        <v>60</v>
      </c>
      <c r="F39" s="184" t="s">
        <v>67</v>
      </c>
      <c r="G39" s="185" t="s">
        <v>1</v>
      </c>
    </row>
    <row r="40" spans="1:7" x14ac:dyDescent="0.2">
      <c r="A40" s="60" t="s">
        <v>2</v>
      </c>
      <c r="B40" s="162">
        <f>SUM(ACBL:NEC!B40)</f>
        <v>241</v>
      </c>
      <c r="C40" s="162">
        <f>SUM(ACBL:NEC!C40)</f>
        <v>238</v>
      </c>
      <c r="D40" s="162">
        <f>SUM(ACBL:NEC!D40)</f>
        <v>241</v>
      </c>
      <c r="E40" s="162">
        <f>SUM(ACBL:NEC!E40)</f>
        <v>243</v>
      </c>
      <c r="F40" s="162">
        <f>SUM(ACBL:NEC!F40)</f>
        <v>253</v>
      </c>
      <c r="G40" s="171">
        <f>AVERAGE(B40:F40)</f>
        <v>243.2</v>
      </c>
    </row>
    <row r="41" spans="1:7" x14ac:dyDescent="0.2">
      <c r="A41" s="60" t="s">
        <v>3</v>
      </c>
      <c r="B41" s="162">
        <f>SUM(ACBL:NEC!B41)</f>
        <v>136</v>
      </c>
      <c r="C41" s="162">
        <f>SUM(ACBL:NEC!C41)</f>
        <v>119</v>
      </c>
      <c r="D41" s="162">
        <f>SUM(ACBL:NEC!D41)</f>
        <v>119</v>
      </c>
      <c r="E41" s="162">
        <f>SUM(ACBL:NEC!E41)</f>
        <v>125</v>
      </c>
      <c r="F41" s="162">
        <f>SUM(ACBL:NEC!F41)</f>
        <v>126</v>
      </c>
      <c r="G41" s="171">
        <f>AVERAGE(B41:F41)</f>
        <v>125</v>
      </c>
    </row>
    <row r="42" spans="1:7" x14ac:dyDescent="0.2">
      <c r="A42" s="13" t="s">
        <v>4</v>
      </c>
      <c r="B42" s="182">
        <f>SUM(ACBL:NEC!B42)</f>
        <v>377</v>
      </c>
      <c r="C42" s="182">
        <f>SUM(ACBL:NEC!C42)</f>
        <v>357</v>
      </c>
      <c r="D42" s="182">
        <f>SUM(ACBL:NEC!D42)</f>
        <v>360</v>
      </c>
      <c r="E42" s="182">
        <f>SUM(ACBL:NEC!E42)</f>
        <v>368</v>
      </c>
      <c r="F42" s="182">
        <f>SUM(ACBL:NEC!F42)</f>
        <v>379</v>
      </c>
      <c r="G42" s="183">
        <f>AVERAGE(B42:F42)</f>
        <v>368.2</v>
      </c>
    </row>
    <row r="43" spans="1:7" ht="13.5" thickBot="1" x14ac:dyDescent="0.25">
      <c r="A43" s="39" t="s">
        <v>49</v>
      </c>
      <c r="B43" s="174">
        <f>SUM(ACBL:NEC!B43)</f>
        <v>286.33333333333337</v>
      </c>
      <c r="C43" s="174">
        <f>SUM(ACBL:NEC!C43)</f>
        <v>277.66666666666663</v>
      </c>
      <c r="D43" s="174">
        <f>SUM(ACBL:NEC!D43)</f>
        <v>280.66666666666663</v>
      </c>
      <c r="E43" s="174">
        <f>SUM(ACBL:NEC!E43)</f>
        <v>284.66666666666663</v>
      </c>
      <c r="F43" s="174">
        <f>SUM(ACBL:NEC!F43)</f>
        <v>295.00000000000006</v>
      </c>
      <c r="G43" s="175">
        <f>AVERAGE(B43:F43)</f>
        <v>284.86666666666667</v>
      </c>
    </row>
    <row r="44" spans="1:7" ht="7.5" customHeight="1" thickBot="1" x14ac:dyDescent="0.25">
      <c r="A44" s="58"/>
    </row>
    <row r="45" spans="1:7" x14ac:dyDescent="0.2">
      <c r="A45" s="191" t="s">
        <v>20</v>
      </c>
      <c r="B45" s="192"/>
      <c r="C45" s="192"/>
      <c r="D45" s="192"/>
      <c r="E45" s="192"/>
      <c r="F45" s="192"/>
      <c r="G45" s="193"/>
    </row>
    <row r="46" spans="1:7" x14ac:dyDescent="0.2">
      <c r="A46" s="53"/>
      <c r="B46" s="184" t="s">
        <v>53</v>
      </c>
      <c r="C46" s="184" t="s">
        <v>55</v>
      </c>
      <c r="D46" s="184" t="s">
        <v>59</v>
      </c>
      <c r="E46" s="184" t="s">
        <v>60</v>
      </c>
      <c r="F46" s="184" t="s">
        <v>67</v>
      </c>
      <c r="G46" s="185" t="s">
        <v>1</v>
      </c>
    </row>
    <row r="47" spans="1:7" ht="13.5" thickBot="1" x14ac:dyDescent="0.25">
      <c r="A47" s="55" t="s">
        <v>6</v>
      </c>
      <c r="B47" s="177">
        <f>(B8+B14)/B43</f>
        <v>22.768335273573921</v>
      </c>
      <c r="C47" s="177">
        <f>(C8+C14)/C43</f>
        <v>22.949579831932777</v>
      </c>
      <c r="D47" s="177">
        <f>(D8+D14)/D43</f>
        <v>22.106888361045133</v>
      </c>
      <c r="E47" s="177">
        <f>(E8+E14)/E43</f>
        <v>21.079625292740047</v>
      </c>
      <c r="F47" s="177">
        <f>(F8+F14)/F43</f>
        <v>19.858757062146893</v>
      </c>
      <c r="G47" s="178">
        <f>AVERAGE(B47:F47)</f>
        <v>21.752637164287755</v>
      </c>
    </row>
    <row r="48" spans="1:7" ht="7.5" customHeight="1" thickBot="1" x14ac:dyDescent="0.25">
      <c r="B48" s="165"/>
      <c r="C48" s="165"/>
      <c r="D48" s="165"/>
      <c r="E48" s="165"/>
      <c r="F48" s="165"/>
      <c r="G48" s="165"/>
    </row>
    <row r="49" spans="1:7" x14ac:dyDescent="0.2">
      <c r="A49" s="191" t="s">
        <v>19</v>
      </c>
      <c r="B49" s="192"/>
      <c r="C49" s="192"/>
      <c r="D49" s="192"/>
      <c r="E49" s="192"/>
      <c r="F49" s="192"/>
      <c r="G49" s="193"/>
    </row>
    <row r="50" spans="1:7" x14ac:dyDescent="0.2">
      <c r="A50" s="53"/>
      <c r="B50" s="184" t="s">
        <v>53</v>
      </c>
      <c r="C50" s="184" t="s">
        <v>55</v>
      </c>
      <c r="D50" s="184" t="s">
        <v>59</v>
      </c>
      <c r="E50" s="184" t="s">
        <v>60</v>
      </c>
      <c r="F50" s="184" t="s">
        <v>67</v>
      </c>
      <c r="G50" s="185" t="s">
        <v>1</v>
      </c>
    </row>
    <row r="51" spans="1:7" ht="13.5" thickBot="1" x14ac:dyDescent="0.25">
      <c r="A51" s="55" t="s">
        <v>10</v>
      </c>
      <c r="B51" s="177">
        <f>B31/B43</f>
        <v>625.57159487776471</v>
      </c>
      <c r="C51" s="177">
        <f>C31/C43</f>
        <v>631.07683073229305</v>
      </c>
      <c r="D51" s="177">
        <f>D31/D43</f>
        <v>613.96674584323046</v>
      </c>
      <c r="E51" s="177">
        <f>E31/E43</f>
        <v>588.1545667447308</v>
      </c>
      <c r="F51" s="177">
        <f>F31/F43</f>
        <v>548.41694915254232</v>
      </c>
      <c r="G51" s="178">
        <f>AVERAGE(B51:F51)</f>
        <v>601.4373374701122</v>
      </c>
    </row>
    <row r="52" spans="1:7" ht="7.5" customHeight="1" thickBot="1" x14ac:dyDescent="0.25">
      <c r="B52" s="165"/>
      <c r="C52" s="165"/>
      <c r="D52" s="165"/>
      <c r="E52" s="165"/>
      <c r="F52" s="165"/>
      <c r="G52" s="165"/>
    </row>
    <row r="53" spans="1:7" x14ac:dyDescent="0.2">
      <c r="A53" s="191" t="s">
        <v>45</v>
      </c>
      <c r="B53" s="192"/>
      <c r="C53" s="192"/>
      <c r="D53" s="192"/>
      <c r="E53" s="192"/>
      <c r="F53" s="192"/>
      <c r="G53" s="193"/>
    </row>
    <row r="54" spans="1:7" x14ac:dyDescent="0.2">
      <c r="A54" s="53"/>
      <c r="B54" s="184" t="s">
        <v>53</v>
      </c>
      <c r="C54" s="184" t="s">
        <v>55</v>
      </c>
      <c r="D54" s="184" t="s">
        <v>59</v>
      </c>
      <c r="E54" s="184" t="s">
        <v>60</v>
      </c>
      <c r="F54" s="184" t="s">
        <v>67</v>
      </c>
      <c r="G54" s="185" t="s">
        <v>1</v>
      </c>
    </row>
    <row r="55" spans="1:7" ht="13.5" thickBot="1" x14ac:dyDescent="0.25">
      <c r="A55" s="55" t="s">
        <v>11</v>
      </c>
      <c r="B55" s="179">
        <f>SUM(ACBL:NEC!B55)</f>
        <v>22004664</v>
      </c>
      <c r="C55" s="179">
        <f>SUM(ACBL:NEC!C55)</f>
        <v>24248499.41</v>
      </c>
      <c r="D55" s="179">
        <f>SUM(ACBL:NEC!D55)</f>
        <v>25111103.829999994</v>
      </c>
      <c r="E55" s="179">
        <f>SUM(ACBL:NEC!E55)</f>
        <v>25703608</v>
      </c>
      <c r="F55" s="179">
        <f>SUM(ACBL:NEC!F55)</f>
        <v>26291788</v>
      </c>
      <c r="G55" s="178">
        <f>AVERAGE(B55:F55)</f>
        <v>24671932.647999998</v>
      </c>
    </row>
    <row r="56" spans="1:7" ht="7.5" customHeight="1" thickBot="1" x14ac:dyDescent="0.25">
      <c r="A56" s="85"/>
      <c r="B56" s="165"/>
      <c r="C56" s="165"/>
      <c r="D56" s="165"/>
      <c r="E56" s="165"/>
      <c r="F56" s="165"/>
      <c r="G56" s="165"/>
    </row>
    <row r="57" spans="1:7" x14ac:dyDescent="0.2">
      <c r="A57" s="191" t="s">
        <v>42</v>
      </c>
      <c r="B57" s="192"/>
      <c r="C57" s="192"/>
      <c r="D57" s="192"/>
      <c r="E57" s="192"/>
      <c r="F57" s="192"/>
      <c r="G57" s="193"/>
    </row>
    <row r="58" spans="1:7" x14ac:dyDescent="0.2">
      <c r="A58" s="53"/>
      <c r="B58" s="184" t="s">
        <v>53</v>
      </c>
      <c r="C58" s="184" t="s">
        <v>55</v>
      </c>
      <c r="D58" s="184" t="s">
        <v>59</v>
      </c>
      <c r="E58" s="184" t="s">
        <v>60</v>
      </c>
      <c r="F58" s="184" t="s">
        <v>67</v>
      </c>
      <c r="G58" s="185" t="s">
        <v>1</v>
      </c>
    </row>
    <row r="59" spans="1:7" ht="13.5" thickBot="1" x14ac:dyDescent="0.25">
      <c r="A59" s="55" t="s">
        <v>12</v>
      </c>
      <c r="B59" s="177">
        <f>B55/B31</f>
        <v>122.84735543372673</v>
      </c>
      <c r="C59" s="177">
        <f>C55/C31</f>
        <v>138.38177133921897</v>
      </c>
      <c r="D59" s="177">
        <f>D55/D31</f>
        <v>145.72367589368613</v>
      </c>
      <c r="E59" s="177">
        <f>E55/E31</f>
        <v>153.52036696370976</v>
      </c>
      <c r="F59" s="177">
        <f>F55/F31</f>
        <v>162.51267438482412</v>
      </c>
      <c r="G59" s="178">
        <f>AVERAGE(B59:F59)</f>
        <v>144.59716880303316</v>
      </c>
    </row>
    <row r="60" spans="1:7" ht="7.5" customHeight="1" thickBot="1" x14ac:dyDescent="0.25"/>
    <row r="61" spans="1:7" x14ac:dyDescent="0.2">
      <c r="A61" s="18" t="s">
        <v>74</v>
      </c>
      <c r="B61" s="19"/>
      <c r="C61" s="19"/>
      <c r="D61" s="19"/>
      <c r="E61" s="19"/>
      <c r="F61" s="19"/>
      <c r="G61" s="20"/>
    </row>
    <row r="62" spans="1:7" x14ac:dyDescent="0.2">
      <c r="A62" s="68"/>
      <c r="B62" s="4" t="s">
        <v>53</v>
      </c>
      <c r="C62" s="4" t="s">
        <v>55</v>
      </c>
      <c r="D62" s="4" t="s">
        <v>59</v>
      </c>
      <c r="E62" s="4" t="s">
        <v>60</v>
      </c>
      <c r="F62" s="4" t="s">
        <v>67</v>
      </c>
      <c r="G62" s="30" t="s">
        <v>1</v>
      </c>
    </row>
  </sheetData>
  <mergeCells count="11">
    <mergeCell ref="B1:D1"/>
    <mergeCell ref="A45:G45"/>
    <mergeCell ref="A22:G22"/>
    <mergeCell ref="A27:G27"/>
    <mergeCell ref="A3:G3"/>
    <mergeCell ref="A16:G16"/>
    <mergeCell ref="A49:G49"/>
    <mergeCell ref="A53:G53"/>
    <mergeCell ref="A57:G57"/>
    <mergeCell ref="A33:G33"/>
    <mergeCell ref="A38:G38"/>
  </mergeCells>
  <phoneticPr fontId="6" type="noConversion"/>
  <printOptions horizontalCentered="1" verticalCentered="1"/>
  <pageMargins left="0.75" right="0.75" top="0.5" bottom="0.5" header="0.5" footer="0.5"/>
  <pageSetup scale="97" orientation="portrait" r:id="rId1"/>
  <headerFooter alignWithMargins="0">
    <oddFooter>&amp;R&amp;8Prepared by:  OIRPA (np)
&amp;F  &amp;A</oddFooter>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27</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125</v>
      </c>
      <c r="C5" s="33">
        <v>134</v>
      </c>
      <c r="D5" s="32">
        <f>95+31</f>
        <v>126</v>
      </c>
      <c r="E5" s="32">
        <v>112</v>
      </c>
      <c r="F5" s="32">
        <v>124</v>
      </c>
      <c r="G5" s="34">
        <f>AVERAGE(B5:F5)</f>
        <v>124.2</v>
      </c>
    </row>
    <row r="6" spans="1:8" x14ac:dyDescent="0.2">
      <c r="A6" s="31" t="s">
        <v>3</v>
      </c>
      <c r="B6" s="32">
        <v>25</v>
      </c>
      <c r="C6" s="33">
        <v>22</v>
      </c>
      <c r="D6" s="32">
        <f>23+5</f>
        <v>28</v>
      </c>
      <c r="E6" s="32">
        <v>23</v>
      </c>
      <c r="F6" s="32">
        <v>22</v>
      </c>
      <c r="G6" s="34">
        <f>AVERAGE(B6:F6)</f>
        <v>24</v>
      </c>
    </row>
    <row r="7" spans="1:8" x14ac:dyDescent="0.2">
      <c r="A7" s="13" t="s">
        <v>4</v>
      </c>
      <c r="B7" s="14">
        <f>SUM(B5:B6)</f>
        <v>150</v>
      </c>
      <c r="C7" s="14">
        <f>SUM(C5:C6)</f>
        <v>156</v>
      </c>
      <c r="D7" s="14">
        <f>SUM(D5:D6)</f>
        <v>154</v>
      </c>
      <c r="E7" s="15">
        <f>SUM(E5:E6)</f>
        <v>135</v>
      </c>
      <c r="F7" s="15">
        <f>SUM(F5:F6)</f>
        <v>146</v>
      </c>
      <c r="G7" s="17">
        <f>AVERAGE(B7:F7)</f>
        <v>148.19999999999999</v>
      </c>
    </row>
    <row r="8" spans="1:8" ht="13.5" thickBot="1" x14ac:dyDescent="0.25">
      <c r="A8" s="35" t="s">
        <v>48</v>
      </c>
      <c r="B8" s="36">
        <f>B5+(B6/3)</f>
        <v>133.33333333333334</v>
      </c>
      <c r="C8" s="36">
        <f>C5+(C6/3)</f>
        <v>141.33333333333334</v>
      </c>
      <c r="D8" s="36">
        <f>D5+(D6/3)</f>
        <v>135.33333333333334</v>
      </c>
      <c r="E8" s="37">
        <f>E5+(E6/3)</f>
        <v>119.66666666666667</v>
      </c>
      <c r="F8" s="37">
        <f>F5+(F6/3)</f>
        <v>131.33333333333334</v>
      </c>
      <c r="G8" s="38">
        <f>AVERAGE(B8:F8)</f>
        <v>132.19999999999999</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32">
        <v>13</v>
      </c>
      <c r="C11" s="33">
        <v>25</v>
      </c>
      <c r="D11" s="32">
        <v>25</v>
      </c>
      <c r="E11" s="32">
        <v>15</v>
      </c>
      <c r="F11" s="32">
        <v>22</v>
      </c>
      <c r="G11" s="34">
        <f>AVERAGE(B11:F11)</f>
        <v>20</v>
      </c>
    </row>
    <row r="12" spans="1:8" x14ac:dyDescent="0.2">
      <c r="A12" s="31" t="s">
        <v>3</v>
      </c>
      <c r="B12" s="32">
        <v>19</v>
      </c>
      <c r="C12" s="33">
        <v>16</v>
      </c>
      <c r="D12" s="32">
        <v>23</v>
      </c>
      <c r="E12" s="32">
        <v>23</v>
      </c>
      <c r="F12" s="32">
        <v>22</v>
      </c>
      <c r="G12" s="34">
        <f>AVERAGE(B12:F12)</f>
        <v>20.6</v>
      </c>
    </row>
    <row r="13" spans="1:8" x14ac:dyDescent="0.2">
      <c r="A13" s="13" t="s">
        <v>4</v>
      </c>
      <c r="B13" s="14">
        <f>SUM(B11:B12)</f>
        <v>32</v>
      </c>
      <c r="C13" s="14">
        <f>SUM(C11:C12)</f>
        <v>41</v>
      </c>
      <c r="D13" s="14">
        <f>SUM(D11:D12)</f>
        <v>48</v>
      </c>
      <c r="E13" s="15">
        <f>SUM(E11:E12)</f>
        <v>38</v>
      </c>
      <c r="F13" s="14">
        <f>SUM(F11:F12)</f>
        <v>44</v>
      </c>
      <c r="G13" s="16">
        <f>AVERAGE(B13:F13)</f>
        <v>40.6</v>
      </c>
    </row>
    <row r="14" spans="1:8" ht="13.5" thickBot="1" x14ac:dyDescent="0.25">
      <c r="A14" s="39" t="s">
        <v>48</v>
      </c>
      <c r="B14" s="40">
        <f>B11+(B12/3)</f>
        <v>19.333333333333332</v>
      </c>
      <c r="C14" s="40">
        <f>C11+(C12/3)</f>
        <v>30.333333333333332</v>
      </c>
      <c r="D14" s="40">
        <f>D11+(D12/3)</f>
        <v>32.666666666666664</v>
      </c>
      <c r="E14" s="41">
        <f>E11+(E12/3)</f>
        <v>22.666666666666668</v>
      </c>
      <c r="F14" s="40">
        <f>F11+(F12/3)</f>
        <v>29.333333333333332</v>
      </c>
      <c r="G14" s="42">
        <f>AVERAGE(B14:F14)</f>
        <v>26.866666666666667</v>
      </c>
    </row>
    <row r="15" spans="1:8" ht="9.9499999999999993" customHeight="1" thickBot="1" x14ac:dyDescent="0.25">
      <c r="A15" s="3" t="s">
        <v>39</v>
      </c>
    </row>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44</v>
      </c>
      <c r="C18" s="32">
        <v>35</v>
      </c>
      <c r="D18" s="32">
        <v>35</v>
      </c>
      <c r="E18" s="32">
        <v>34</v>
      </c>
      <c r="F18" s="32">
        <v>28</v>
      </c>
      <c r="G18" s="45">
        <f>AVERAGE(B18:F18)</f>
        <v>35.200000000000003</v>
      </c>
    </row>
    <row r="19" spans="1:8" x14ac:dyDescent="0.2">
      <c r="A19" s="46" t="s">
        <v>63</v>
      </c>
      <c r="B19" s="47">
        <v>20</v>
      </c>
      <c r="C19" s="47">
        <v>11</v>
      </c>
      <c r="D19" s="47">
        <v>25</v>
      </c>
      <c r="E19" s="47">
        <v>14</v>
      </c>
      <c r="F19" s="47">
        <v>14</v>
      </c>
      <c r="G19" s="48">
        <f>AVERAGE(B19:F19)</f>
        <v>16.8</v>
      </c>
    </row>
    <row r="20" spans="1:8" ht="13.5" thickBot="1" x14ac:dyDescent="0.25">
      <c r="A20" s="49" t="s">
        <v>4</v>
      </c>
      <c r="B20" s="79">
        <f>B19+B18</f>
        <v>64</v>
      </c>
      <c r="C20" s="79">
        <f t="shared" ref="C20:F20" si="0">C19+C18</f>
        <v>46</v>
      </c>
      <c r="D20" s="79">
        <f t="shared" si="0"/>
        <v>60</v>
      </c>
      <c r="E20" s="79">
        <f t="shared" si="0"/>
        <v>48</v>
      </c>
      <c r="F20" s="79">
        <f t="shared" si="0"/>
        <v>42</v>
      </c>
      <c r="G20" s="51">
        <f>AVERAGE(B20:F20)</f>
        <v>52</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3.4090909090909092</v>
      </c>
      <c r="C24" s="54">
        <f>C7/C18</f>
        <v>4.4571428571428573</v>
      </c>
      <c r="D24" s="54">
        <f>D7/D18</f>
        <v>4.4000000000000004</v>
      </c>
      <c r="E24" s="54">
        <f>E7/E18</f>
        <v>3.9705882352941178</v>
      </c>
      <c r="F24" s="54">
        <f>F7/F18</f>
        <v>5.2142857142857144</v>
      </c>
      <c r="G24" s="45">
        <f>AVERAGE(B24:F24)</f>
        <v>4.29022154316272</v>
      </c>
    </row>
    <row r="25" spans="1:8" ht="13.5" thickBot="1" x14ac:dyDescent="0.25">
      <c r="A25" s="55" t="s">
        <v>64</v>
      </c>
      <c r="B25" s="56">
        <f>B13/B19</f>
        <v>1.6</v>
      </c>
      <c r="C25" s="56">
        <f>C13/C19</f>
        <v>3.7272727272727271</v>
      </c>
      <c r="D25" s="56">
        <f>D13/D19</f>
        <v>1.92</v>
      </c>
      <c r="E25" s="56">
        <f>E13/E19</f>
        <v>2.7142857142857144</v>
      </c>
      <c r="F25" s="56">
        <f>F13/F19</f>
        <v>3.1428571428571428</v>
      </c>
      <c r="G25" s="57">
        <f>AVERAGE(B25:F25)</f>
        <v>2.6208831168831166</v>
      </c>
    </row>
    <row r="26" spans="1:8" ht="9.9499999999999993" customHeight="1" thickBot="1" x14ac:dyDescent="0.25">
      <c r="A26" s="58"/>
      <c r="B26" s="58"/>
      <c r="C26" s="58"/>
      <c r="D26" s="58"/>
      <c r="E26" s="58"/>
      <c r="F26" s="58"/>
      <c r="G26" s="58"/>
      <c r="H26" s="58"/>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5811</v>
      </c>
      <c r="C29" s="61">
        <v>5631</v>
      </c>
      <c r="D29" s="61">
        <v>5823</v>
      </c>
      <c r="E29" s="61">
        <v>6042</v>
      </c>
      <c r="F29" s="61">
        <v>5991</v>
      </c>
      <c r="G29" s="62">
        <f>AVERAGE(B29:F29)</f>
        <v>5859.6</v>
      </c>
    </row>
    <row r="30" spans="1:8" x14ac:dyDescent="0.2">
      <c r="A30" s="60" t="s">
        <v>8</v>
      </c>
      <c r="B30" s="61">
        <v>2709</v>
      </c>
      <c r="C30" s="61">
        <v>2055</v>
      </c>
      <c r="D30" s="61">
        <v>1395</v>
      </c>
      <c r="E30" s="61">
        <v>1563</v>
      </c>
      <c r="F30" s="61">
        <v>1272</v>
      </c>
      <c r="G30" s="62">
        <f>AVERAGE(B30:F30)</f>
        <v>1798.8</v>
      </c>
    </row>
    <row r="31" spans="1:8" ht="13.5" thickBot="1" x14ac:dyDescent="0.25">
      <c r="A31" s="22" t="s">
        <v>4</v>
      </c>
      <c r="B31" s="23">
        <f>SUM(B29:B30)</f>
        <v>8520</v>
      </c>
      <c r="C31" s="23">
        <f>SUM(C29:C30)</f>
        <v>7686</v>
      </c>
      <c r="D31" s="23">
        <f>SUM(D29:D30)</f>
        <v>7218</v>
      </c>
      <c r="E31" s="23">
        <f>SUM(E29:E30)</f>
        <v>7605</v>
      </c>
      <c r="F31" s="23">
        <f>SUM(F29:F30)</f>
        <v>7263</v>
      </c>
      <c r="G31" s="24">
        <f>AVERAGE(B31:F31)</f>
        <v>7658.4</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29.6</v>
      </c>
      <c r="C35" s="32">
        <v>30.7</v>
      </c>
      <c r="D35" s="63">
        <v>29.4</v>
      </c>
      <c r="E35" s="63">
        <v>31.5</v>
      </c>
      <c r="F35" s="63">
        <v>30.9</v>
      </c>
      <c r="G35" s="45">
        <f>AVERAGE(B35:F35)</f>
        <v>30.419999999999998</v>
      </c>
    </row>
    <row r="36" spans="1:8" ht="13.5" thickBot="1" x14ac:dyDescent="0.25">
      <c r="A36" s="64" t="s">
        <v>8</v>
      </c>
      <c r="B36" s="65">
        <v>27.9</v>
      </c>
      <c r="C36" s="65">
        <v>27.8</v>
      </c>
      <c r="D36" s="65">
        <v>25.2</v>
      </c>
      <c r="E36" s="65">
        <v>25.9</v>
      </c>
      <c r="F36" s="65">
        <v>29.4</v>
      </c>
      <c r="G36" s="57">
        <f>AVERAGE(B36:F36)</f>
        <v>27.240000000000002</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10</v>
      </c>
      <c r="C40" s="32">
        <v>10</v>
      </c>
      <c r="D40" s="32">
        <v>10</v>
      </c>
      <c r="E40" s="32">
        <v>9</v>
      </c>
      <c r="F40" s="32">
        <v>10</v>
      </c>
      <c r="G40" s="45">
        <f>AVERAGE(B40:F40)</f>
        <v>9.8000000000000007</v>
      </c>
    </row>
    <row r="41" spans="1:8" x14ac:dyDescent="0.2">
      <c r="A41" s="60" t="s">
        <v>3</v>
      </c>
      <c r="B41" s="32">
        <v>1</v>
      </c>
      <c r="C41" s="32">
        <v>0</v>
      </c>
      <c r="D41" s="32">
        <v>0</v>
      </c>
      <c r="E41" s="32">
        <v>0</v>
      </c>
      <c r="F41" s="32">
        <v>0</v>
      </c>
      <c r="G41" s="45">
        <f>AVERAGE(B41:F41)</f>
        <v>0.2</v>
      </c>
    </row>
    <row r="42" spans="1:8" x14ac:dyDescent="0.2">
      <c r="A42" s="13" t="s">
        <v>4</v>
      </c>
      <c r="B42" s="14">
        <f>SUM(B40:B41)</f>
        <v>11</v>
      </c>
      <c r="C42" s="14">
        <f>SUM(C40:C41)</f>
        <v>10</v>
      </c>
      <c r="D42" s="14">
        <f>SUM(D40:D41)</f>
        <v>10</v>
      </c>
      <c r="E42" s="14">
        <f>SUM(E40:E41)</f>
        <v>9</v>
      </c>
      <c r="F42" s="14">
        <f>SUM(F40:F41)</f>
        <v>10</v>
      </c>
      <c r="G42" s="17">
        <f>AVERAGE(B42:F42)</f>
        <v>10</v>
      </c>
    </row>
    <row r="43" spans="1:8" ht="13.5" thickBot="1" x14ac:dyDescent="0.25">
      <c r="A43" s="39" t="s">
        <v>49</v>
      </c>
      <c r="B43" s="40">
        <f>B40+(B41/3)</f>
        <v>10.333333333333334</v>
      </c>
      <c r="C43" s="40">
        <f>C40+(C41/3)</f>
        <v>10</v>
      </c>
      <c r="D43" s="40">
        <f>D40+(D41/3)</f>
        <v>10</v>
      </c>
      <c r="E43" s="40">
        <f>E40+(E41/3)</f>
        <v>9</v>
      </c>
      <c r="F43" s="40">
        <f>F40+(F41/3)</f>
        <v>10</v>
      </c>
      <c r="G43" s="67">
        <f>AVERAGE(B43:F43)</f>
        <v>9.8666666666666671</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14.774193548387098</v>
      </c>
      <c r="C47" s="56">
        <f>(C8+C14)/C43</f>
        <v>17.166666666666668</v>
      </c>
      <c r="D47" s="56">
        <f>(D8+D14)/D43</f>
        <v>16.8</v>
      </c>
      <c r="E47" s="56">
        <f>(E8+E14)/E43</f>
        <v>15.814814814814817</v>
      </c>
      <c r="F47" s="56">
        <f>(F8+F14)/F43</f>
        <v>16.06666666666667</v>
      </c>
      <c r="G47" s="57">
        <f>AVERAGE(B47:F47)</f>
        <v>16.12446833930705</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824.51612903225805</v>
      </c>
      <c r="C51" s="56">
        <f>C31/C43</f>
        <v>768.6</v>
      </c>
      <c r="D51" s="56">
        <f>D31/D43</f>
        <v>721.8</v>
      </c>
      <c r="E51" s="56">
        <f>E31/E43</f>
        <v>845</v>
      </c>
      <c r="F51" s="56">
        <f>F31/F43</f>
        <v>726.3</v>
      </c>
      <c r="G51" s="57">
        <f>AVERAGE(B51:F51)</f>
        <v>777.24322580645162</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897407</v>
      </c>
      <c r="C55" s="73">
        <v>991837</v>
      </c>
      <c r="D55" s="73">
        <v>972190</v>
      </c>
      <c r="E55" s="73">
        <v>960940</v>
      </c>
      <c r="F55" s="73">
        <v>1048387</v>
      </c>
      <c r="G55" s="74">
        <f>AVERAGE(B55:F55)</f>
        <v>974152.2</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105.32946009389671</v>
      </c>
      <c r="C59" s="76">
        <f>C55/C31</f>
        <v>129.04462659380692</v>
      </c>
      <c r="D59" s="76">
        <f>D55/D31</f>
        <v>134.6896647270712</v>
      </c>
      <c r="E59" s="76">
        <f>E55/E31</f>
        <v>126.35634451019067</v>
      </c>
      <c r="F59" s="76">
        <f>F55/F31</f>
        <v>144.34627564367341</v>
      </c>
      <c r="G59" s="74">
        <f>AVERAGE(B59:F59)</f>
        <v>127.95327431372777</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86845.838709677409</v>
      </c>
      <c r="C63" s="75">
        <f t="shared" ref="C63:F63" si="1">C55/C43</f>
        <v>99183.7</v>
      </c>
      <c r="D63" s="75">
        <f t="shared" si="1"/>
        <v>97219</v>
      </c>
      <c r="E63" s="75">
        <f t="shared" si="1"/>
        <v>106771.11111111111</v>
      </c>
      <c r="F63" s="75">
        <f t="shared" si="1"/>
        <v>104838.7</v>
      </c>
      <c r="G63" s="74">
        <f>AVERAGE(B63:F63)</f>
        <v>98971.669964157714</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186" t="s">
        <v>30</v>
      </c>
      <c r="C1" s="188"/>
      <c r="D1" s="188"/>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378</v>
      </c>
      <c r="C5" s="33">
        <v>371</v>
      </c>
      <c r="D5" s="32">
        <f>247+110</f>
        <v>357</v>
      </c>
      <c r="E5" s="32">
        <v>407</v>
      </c>
      <c r="F5" s="32">
        <v>436</v>
      </c>
      <c r="G5" s="34">
        <f>AVERAGE(B5:F5)</f>
        <v>389.8</v>
      </c>
    </row>
    <row r="6" spans="1:8" x14ac:dyDescent="0.2">
      <c r="A6" s="31" t="s">
        <v>3</v>
      </c>
      <c r="B6" s="32">
        <v>125</v>
      </c>
      <c r="C6" s="33">
        <v>100</v>
      </c>
      <c r="D6" s="32">
        <f>50+23</f>
        <v>73</v>
      </c>
      <c r="E6" s="32">
        <v>71</v>
      </c>
      <c r="F6" s="32">
        <v>86</v>
      </c>
      <c r="G6" s="34">
        <f>AVERAGE(B6:F6)</f>
        <v>91</v>
      </c>
    </row>
    <row r="7" spans="1:8" x14ac:dyDescent="0.2">
      <c r="A7" s="13" t="s">
        <v>4</v>
      </c>
      <c r="B7" s="14">
        <f>SUM(B5:B6)</f>
        <v>503</v>
      </c>
      <c r="C7" s="14">
        <f>SUM(C5:C6)</f>
        <v>471</v>
      </c>
      <c r="D7" s="14">
        <f>SUM(D5:D6)</f>
        <v>430</v>
      </c>
      <c r="E7" s="15">
        <f>SUM(E5:E6)</f>
        <v>478</v>
      </c>
      <c r="F7" s="15">
        <f>SUM(F5:F6)</f>
        <v>522</v>
      </c>
      <c r="G7" s="17">
        <f>AVERAGE(B7:F7)</f>
        <v>480.8</v>
      </c>
    </row>
    <row r="8" spans="1:8" ht="13.5" thickBot="1" x14ac:dyDescent="0.25">
      <c r="A8" s="35" t="s">
        <v>48</v>
      </c>
      <c r="B8" s="36">
        <f>B5+(B6/3)</f>
        <v>419.66666666666669</v>
      </c>
      <c r="C8" s="36">
        <f>C5+(C6/3)</f>
        <v>404.33333333333331</v>
      </c>
      <c r="D8" s="36">
        <f>D5+(D6/3)</f>
        <v>381.33333333333331</v>
      </c>
      <c r="E8" s="37">
        <f>E5+(E6/3)</f>
        <v>430.66666666666669</v>
      </c>
      <c r="F8" s="37">
        <f>F5+(F6/3)</f>
        <v>464.66666666666669</v>
      </c>
      <c r="G8" s="38">
        <f>AVERAGE(B8:F8)</f>
        <v>420.13333333333333</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32">
        <v>199</v>
      </c>
      <c r="C11" s="33">
        <v>174</v>
      </c>
      <c r="D11" s="32">
        <v>114</v>
      </c>
      <c r="E11" s="32">
        <v>82</v>
      </c>
      <c r="F11" s="32">
        <v>80</v>
      </c>
      <c r="G11" s="34">
        <f>AVERAGE(B11:F11)</f>
        <v>129.80000000000001</v>
      </c>
    </row>
    <row r="12" spans="1:8" x14ac:dyDescent="0.2">
      <c r="A12" s="31" t="s">
        <v>3</v>
      </c>
      <c r="B12" s="32">
        <v>385</v>
      </c>
      <c r="C12" s="33">
        <v>406</v>
      </c>
      <c r="D12" s="32">
        <v>334</v>
      </c>
      <c r="E12" s="32">
        <v>285</v>
      </c>
      <c r="F12" s="32">
        <v>325</v>
      </c>
      <c r="G12" s="34">
        <f>AVERAGE(B12:F12)</f>
        <v>347</v>
      </c>
    </row>
    <row r="13" spans="1:8" x14ac:dyDescent="0.2">
      <c r="A13" s="13" t="s">
        <v>4</v>
      </c>
      <c r="B13" s="14">
        <f>SUM(B11:B12)</f>
        <v>584</v>
      </c>
      <c r="C13" s="14">
        <f>SUM(C11:C12)</f>
        <v>580</v>
      </c>
      <c r="D13" s="14">
        <f>SUM(D11:D12)</f>
        <v>448</v>
      </c>
      <c r="E13" s="15">
        <f>SUM(E11:E12)</f>
        <v>367</v>
      </c>
      <c r="F13" s="14">
        <f>SUM(F11:F12)</f>
        <v>405</v>
      </c>
      <c r="G13" s="16">
        <f>AVERAGE(B13:F13)</f>
        <v>476.8</v>
      </c>
    </row>
    <row r="14" spans="1:8" ht="13.5" thickBot="1" x14ac:dyDescent="0.25">
      <c r="A14" s="39" t="s">
        <v>48</v>
      </c>
      <c r="B14" s="40">
        <f>B11+(B12/3)</f>
        <v>327.33333333333337</v>
      </c>
      <c r="C14" s="40">
        <f>C11+(C12/3)</f>
        <v>309.33333333333337</v>
      </c>
      <c r="D14" s="40">
        <f>D11+(D12/3)</f>
        <v>225.33333333333331</v>
      </c>
      <c r="E14" s="41">
        <f>E11+(E12/3)</f>
        <v>177</v>
      </c>
      <c r="F14" s="40">
        <f>F11+(F12/3)</f>
        <v>188.33333333333331</v>
      </c>
      <c r="G14" s="42">
        <f>AVERAGE(B14:F14)</f>
        <v>245.46666666666664</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122</v>
      </c>
      <c r="C18" s="32">
        <v>96</v>
      </c>
      <c r="D18" s="32">
        <v>75</v>
      </c>
      <c r="E18" s="32">
        <v>84</v>
      </c>
      <c r="F18" s="32">
        <v>123</v>
      </c>
      <c r="G18" s="45">
        <f>AVERAGE(B18:F18)</f>
        <v>100</v>
      </c>
    </row>
    <row r="19" spans="1:8" x14ac:dyDescent="0.2">
      <c r="A19" s="46" t="s">
        <v>63</v>
      </c>
      <c r="B19" s="47">
        <v>185</v>
      </c>
      <c r="C19" s="47">
        <v>214</v>
      </c>
      <c r="D19" s="47">
        <f>179-9-25-13-3-1</f>
        <v>128</v>
      </c>
      <c r="E19" s="47">
        <v>120</v>
      </c>
      <c r="F19" s="47">
        <v>96</v>
      </c>
      <c r="G19" s="48">
        <f>AVERAGE(B19:F19)</f>
        <v>148.6</v>
      </c>
    </row>
    <row r="20" spans="1:8" ht="13.5" thickBot="1" x14ac:dyDescent="0.25">
      <c r="A20" s="49" t="s">
        <v>4</v>
      </c>
      <c r="B20" s="79">
        <f>B19+B18</f>
        <v>307</v>
      </c>
      <c r="C20" s="79">
        <f t="shared" ref="C20:F20" si="0">C19+C18</f>
        <v>310</v>
      </c>
      <c r="D20" s="79">
        <f t="shared" si="0"/>
        <v>203</v>
      </c>
      <c r="E20" s="79">
        <f t="shared" si="0"/>
        <v>204</v>
      </c>
      <c r="F20" s="79">
        <f t="shared" si="0"/>
        <v>219</v>
      </c>
      <c r="G20" s="51">
        <f>AVERAGE(B20:F20)</f>
        <v>248.6</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4.1229508196721314</v>
      </c>
      <c r="C24" s="54">
        <f>C7/C18</f>
        <v>4.90625</v>
      </c>
      <c r="D24" s="54">
        <f>D7/D18</f>
        <v>5.7333333333333334</v>
      </c>
      <c r="E24" s="54">
        <f>E7/E18</f>
        <v>5.6904761904761907</v>
      </c>
      <c r="F24" s="54">
        <f>F7/F18</f>
        <v>4.2439024390243905</v>
      </c>
      <c r="G24" s="45">
        <f>AVERAGE(B24:F24)</f>
        <v>4.9393825565012097</v>
      </c>
    </row>
    <row r="25" spans="1:8" ht="13.5" thickBot="1" x14ac:dyDescent="0.25">
      <c r="A25" s="55" t="s">
        <v>64</v>
      </c>
      <c r="B25" s="56">
        <f>B13/B19</f>
        <v>3.1567567567567569</v>
      </c>
      <c r="C25" s="56">
        <f>C13/C19</f>
        <v>2.7102803738317758</v>
      </c>
      <c r="D25" s="56">
        <f>D13/D19</f>
        <v>3.5</v>
      </c>
      <c r="E25" s="56">
        <f>E13/E19</f>
        <v>3.0583333333333331</v>
      </c>
      <c r="F25" s="56">
        <f>F13/F19</f>
        <v>4.21875</v>
      </c>
      <c r="G25" s="57">
        <f>AVERAGE(B25:F25)</f>
        <v>3.3288240927843731</v>
      </c>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9216</v>
      </c>
      <c r="C29" s="61">
        <v>9235</v>
      </c>
      <c r="D29" s="61">
        <v>9532</v>
      </c>
      <c r="E29" s="61">
        <v>10788</v>
      </c>
      <c r="F29" s="61">
        <v>10169</v>
      </c>
      <c r="G29" s="62">
        <f>AVERAGE(B29:F29)</f>
        <v>9788</v>
      </c>
    </row>
    <row r="30" spans="1:8" x14ac:dyDescent="0.2">
      <c r="A30" s="60" t="s">
        <v>8</v>
      </c>
      <c r="B30" s="61">
        <v>4020</v>
      </c>
      <c r="C30" s="61">
        <v>3294</v>
      </c>
      <c r="D30" s="61">
        <v>3564</v>
      </c>
      <c r="E30" s="61">
        <v>2640</v>
      </c>
      <c r="F30" s="61">
        <v>3631</v>
      </c>
      <c r="G30" s="62">
        <f>AVERAGE(B30:F30)</f>
        <v>3429.8</v>
      </c>
    </row>
    <row r="31" spans="1:8" ht="13.5" thickBot="1" x14ac:dyDescent="0.25">
      <c r="A31" s="22" t="s">
        <v>4</v>
      </c>
      <c r="B31" s="23">
        <f>SUM(B29:B30)</f>
        <v>13236</v>
      </c>
      <c r="C31" s="23">
        <f>SUM(C29:C30)</f>
        <v>12529</v>
      </c>
      <c r="D31" s="23">
        <f>SUM(D29:D30)</f>
        <v>13096</v>
      </c>
      <c r="E31" s="23">
        <f>SUM(E29:E30)</f>
        <v>13428</v>
      </c>
      <c r="F31" s="23">
        <f>SUM(F29:F30)</f>
        <v>13800</v>
      </c>
      <c r="G31" s="24">
        <f>AVERAGE(B31:F31)</f>
        <v>13217.8</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29.4</v>
      </c>
      <c r="C35" s="32">
        <v>31.4</v>
      </c>
      <c r="D35" s="63">
        <v>33.9</v>
      </c>
      <c r="E35" s="63">
        <v>37.5</v>
      </c>
      <c r="F35" s="63">
        <v>31.9</v>
      </c>
      <c r="G35" s="45">
        <f>AVERAGE(B35:F35)</f>
        <v>32.82</v>
      </c>
    </row>
    <row r="36" spans="1:8" ht="13.5" thickBot="1" x14ac:dyDescent="0.25">
      <c r="A36" s="64" t="s">
        <v>8</v>
      </c>
      <c r="B36" s="65">
        <v>29.9</v>
      </c>
      <c r="C36" s="65">
        <v>27.5</v>
      </c>
      <c r="D36" s="65">
        <v>24.6</v>
      </c>
      <c r="E36" s="65">
        <v>22.1</v>
      </c>
      <c r="F36" s="65">
        <v>24.4</v>
      </c>
      <c r="G36" s="57">
        <f>AVERAGE(B36:F36)</f>
        <v>25.7</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11</v>
      </c>
      <c r="C40" s="32">
        <v>11</v>
      </c>
      <c r="D40" s="32">
        <v>9</v>
      </c>
      <c r="E40" s="32">
        <v>8</v>
      </c>
      <c r="F40" s="32">
        <v>10</v>
      </c>
      <c r="G40" s="45">
        <f>AVERAGE(B40:F40)</f>
        <v>9.8000000000000007</v>
      </c>
    </row>
    <row r="41" spans="1:8" x14ac:dyDescent="0.2">
      <c r="A41" s="60" t="s">
        <v>3</v>
      </c>
      <c r="B41" s="32">
        <v>4</v>
      </c>
      <c r="C41" s="32">
        <v>3</v>
      </c>
      <c r="D41" s="32">
        <v>1</v>
      </c>
      <c r="E41" s="32">
        <v>3</v>
      </c>
      <c r="F41" s="32">
        <v>5</v>
      </c>
      <c r="G41" s="45">
        <f>AVERAGE(B41:F41)</f>
        <v>3.2</v>
      </c>
    </row>
    <row r="42" spans="1:8" x14ac:dyDescent="0.2">
      <c r="A42" s="13" t="s">
        <v>4</v>
      </c>
      <c r="B42" s="14">
        <f>SUM(B40:B41)</f>
        <v>15</v>
      </c>
      <c r="C42" s="14">
        <f>SUM(C40:C41)</f>
        <v>14</v>
      </c>
      <c r="D42" s="14">
        <f>SUM(D40:D41)</f>
        <v>10</v>
      </c>
      <c r="E42" s="14">
        <f>SUM(E40:E41)</f>
        <v>11</v>
      </c>
      <c r="F42" s="14">
        <f>SUM(F40:F41)</f>
        <v>15</v>
      </c>
      <c r="G42" s="17">
        <f>AVERAGE(B42:F42)</f>
        <v>13</v>
      </c>
    </row>
    <row r="43" spans="1:8" ht="13.5" thickBot="1" x14ac:dyDescent="0.25">
      <c r="A43" s="39" t="s">
        <v>49</v>
      </c>
      <c r="B43" s="40">
        <f>B40+(B41/3)</f>
        <v>12.333333333333334</v>
      </c>
      <c r="C43" s="40">
        <f>C40+(C41/3)</f>
        <v>12</v>
      </c>
      <c r="D43" s="40">
        <f>D40+(D41/3)</f>
        <v>9.3333333333333339</v>
      </c>
      <c r="E43" s="40">
        <f>E40+(E41/3)</f>
        <v>9</v>
      </c>
      <c r="F43" s="40">
        <f>F40+(F41/3)</f>
        <v>11.666666666666666</v>
      </c>
      <c r="G43" s="67">
        <f>AVERAGE(B43:F43)</f>
        <v>10.866666666666667</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60.567567567567565</v>
      </c>
      <c r="C47" s="56">
        <f>(C8+C14)/C43</f>
        <v>59.472222222222229</v>
      </c>
      <c r="D47" s="56">
        <f>(D8+D14)/D43</f>
        <v>64.999999999999986</v>
      </c>
      <c r="E47" s="56">
        <f>(E8+E14)/E43</f>
        <v>67.518518518518533</v>
      </c>
      <c r="F47" s="56">
        <f>(F8+F14)/F43</f>
        <v>55.971428571428575</v>
      </c>
      <c r="G47" s="57">
        <f>AVERAGE(B47:F47)</f>
        <v>61.705947375947382</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70">
        <f>B31/B43</f>
        <v>1073.1891891891892</v>
      </c>
      <c r="C51" s="71">
        <f>C31/C43</f>
        <v>1044.0833333333333</v>
      </c>
      <c r="D51" s="71">
        <f>D31/D43</f>
        <v>1403.1428571428571</v>
      </c>
      <c r="E51" s="71">
        <f>E31/E43</f>
        <v>1492</v>
      </c>
      <c r="F51" s="71">
        <f>F31/F43</f>
        <v>1182.8571428571429</v>
      </c>
      <c r="G51" s="72">
        <f>AVERAGE(B51:F51)</f>
        <v>1239.0545045045044</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977718</v>
      </c>
      <c r="C55" s="73">
        <v>1128628.24</v>
      </c>
      <c r="D55" s="73">
        <v>1100121</v>
      </c>
      <c r="E55" s="73">
        <v>1184810</v>
      </c>
      <c r="F55" s="73">
        <v>1267707</v>
      </c>
      <c r="G55" s="74">
        <f>AVERAGE(B55:F55)</f>
        <v>1131796.848</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73.868087035358116</v>
      </c>
      <c r="C59" s="76">
        <f>C55/C31</f>
        <v>90.081270652087156</v>
      </c>
      <c r="D59" s="76">
        <f>D55/D31</f>
        <v>84.004352474037873</v>
      </c>
      <c r="E59" s="76">
        <f>E55/E31</f>
        <v>88.234286565385759</v>
      </c>
      <c r="F59" s="76">
        <f>F55/F31</f>
        <v>91.862826086956517</v>
      </c>
      <c r="G59" s="74">
        <f>AVERAGE(B59:F59)</f>
        <v>85.610164562765092</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79274.432432432426</v>
      </c>
      <c r="C63" s="75">
        <f t="shared" ref="C63:F63" si="1">C55/C43</f>
        <v>94052.353333333333</v>
      </c>
      <c r="D63" s="75">
        <f t="shared" si="1"/>
        <v>117870.10714285713</v>
      </c>
      <c r="E63" s="75">
        <f t="shared" si="1"/>
        <v>131645.55555555556</v>
      </c>
      <c r="F63" s="75">
        <f t="shared" si="1"/>
        <v>108660.6</v>
      </c>
      <c r="G63" s="74">
        <f>AVERAGE(B63:F63)</f>
        <v>106300.60969283569</v>
      </c>
    </row>
  </sheetData>
  <mergeCells count="1">
    <mergeCell ref="B1:D1"/>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26</v>
      </c>
      <c r="C1" s="103"/>
      <c r="D1" s="103"/>
      <c r="E1" s="104"/>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123"/>
      <c r="C5" s="124"/>
      <c r="D5" s="123"/>
      <c r="E5" s="123"/>
      <c r="F5" s="123"/>
      <c r="G5" s="125"/>
    </row>
    <row r="6" spans="1:8" x14ac:dyDescent="0.2">
      <c r="A6" s="31" t="s">
        <v>3</v>
      </c>
      <c r="B6" s="123"/>
      <c r="C6" s="124"/>
      <c r="D6" s="123"/>
      <c r="E6" s="123"/>
      <c r="F6" s="123"/>
      <c r="G6" s="125"/>
    </row>
    <row r="7" spans="1:8" x14ac:dyDescent="0.2">
      <c r="A7" s="13" t="s">
        <v>4</v>
      </c>
      <c r="B7" s="126"/>
      <c r="C7" s="126"/>
      <c r="D7" s="126"/>
      <c r="E7" s="127"/>
      <c r="F7" s="127"/>
      <c r="G7" s="150"/>
    </row>
    <row r="8" spans="1:8" ht="13.5" thickBot="1" x14ac:dyDescent="0.25">
      <c r="A8" s="35" t="s">
        <v>48</v>
      </c>
      <c r="B8" s="151"/>
      <c r="C8" s="151"/>
      <c r="D8" s="151"/>
      <c r="E8" s="152"/>
      <c r="F8" s="152"/>
      <c r="G8" s="153"/>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32">
        <v>35</v>
      </c>
      <c r="C11" s="33">
        <v>39</v>
      </c>
      <c r="D11" s="32">
        <v>39</v>
      </c>
      <c r="E11" s="32">
        <v>22</v>
      </c>
      <c r="F11" s="32">
        <v>23</v>
      </c>
      <c r="G11" s="34">
        <f>AVERAGE(B11:F11)</f>
        <v>31.6</v>
      </c>
    </row>
    <row r="12" spans="1:8" x14ac:dyDescent="0.2">
      <c r="A12" s="31" t="s">
        <v>3</v>
      </c>
      <c r="B12" s="32">
        <v>41</v>
      </c>
      <c r="C12" s="33">
        <v>47</v>
      </c>
      <c r="D12" s="32">
        <v>49</v>
      </c>
      <c r="E12" s="32">
        <v>43</v>
      </c>
      <c r="F12" s="32">
        <v>35</v>
      </c>
      <c r="G12" s="34">
        <f>AVERAGE(B12:F12)</f>
        <v>43</v>
      </c>
    </row>
    <row r="13" spans="1:8" x14ac:dyDescent="0.2">
      <c r="A13" s="13" t="s">
        <v>4</v>
      </c>
      <c r="B13" s="14">
        <f>SUM(B11:B12)</f>
        <v>76</v>
      </c>
      <c r="C13" s="14">
        <f>SUM(C11:C12)</f>
        <v>86</v>
      </c>
      <c r="D13" s="14">
        <f>SUM(D11:D12)</f>
        <v>88</v>
      </c>
      <c r="E13" s="15">
        <f>SUM(E11:E12)</f>
        <v>65</v>
      </c>
      <c r="F13" s="14">
        <f>SUM(F11:F12)</f>
        <v>58</v>
      </c>
      <c r="G13" s="16">
        <f>AVERAGE(B13:F13)</f>
        <v>74.599999999999994</v>
      </c>
    </row>
    <row r="14" spans="1:8" ht="13.5" thickBot="1" x14ac:dyDescent="0.25">
      <c r="A14" s="39" t="s">
        <v>48</v>
      </c>
      <c r="B14" s="40">
        <f>B11+(B12/3)</f>
        <v>48.666666666666664</v>
      </c>
      <c r="C14" s="40">
        <f>C11+(C12/3)</f>
        <v>54.666666666666664</v>
      </c>
      <c r="D14" s="40">
        <f>D11+(D12/3)</f>
        <v>55.333333333333329</v>
      </c>
      <c r="E14" s="41">
        <f>E11+(E12/3)</f>
        <v>36.333333333333336</v>
      </c>
      <c r="F14" s="40">
        <f>F11+(F12/3)</f>
        <v>34.666666666666664</v>
      </c>
      <c r="G14" s="42">
        <f>AVERAGE(B14:F14)</f>
        <v>45.93333333333333</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123"/>
      <c r="C18" s="123"/>
      <c r="D18" s="123"/>
      <c r="E18" s="123"/>
      <c r="F18" s="123"/>
      <c r="G18" s="154"/>
    </row>
    <row r="19" spans="1:8" x14ac:dyDescent="0.2">
      <c r="A19" s="46" t="s">
        <v>63</v>
      </c>
      <c r="B19" s="47">
        <v>16</v>
      </c>
      <c r="C19" s="47">
        <v>14</v>
      </c>
      <c r="D19" s="47">
        <v>27</v>
      </c>
      <c r="E19" s="47">
        <v>21</v>
      </c>
      <c r="F19" s="47">
        <v>14</v>
      </c>
      <c r="G19" s="48">
        <f>AVERAGE(B19:F19)</f>
        <v>18.399999999999999</v>
      </c>
    </row>
    <row r="20" spans="1:8" ht="13.5" thickBot="1" x14ac:dyDescent="0.25">
      <c r="A20" s="49" t="s">
        <v>4</v>
      </c>
      <c r="B20" s="79">
        <f>B19+B18</f>
        <v>16</v>
      </c>
      <c r="C20" s="79">
        <f t="shared" ref="C20:F20" si="0">C19+C18</f>
        <v>14</v>
      </c>
      <c r="D20" s="79">
        <f t="shared" si="0"/>
        <v>27</v>
      </c>
      <c r="E20" s="79">
        <f t="shared" si="0"/>
        <v>21</v>
      </c>
      <c r="F20" s="79">
        <f t="shared" si="0"/>
        <v>14</v>
      </c>
      <c r="G20" s="51">
        <f>AVERAGE(B20:F20)</f>
        <v>18.399999999999999</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132"/>
      <c r="C24" s="132"/>
      <c r="D24" s="132"/>
      <c r="E24" s="132"/>
      <c r="F24" s="132"/>
      <c r="G24" s="154"/>
    </row>
    <row r="25" spans="1:8" ht="13.5" thickBot="1" x14ac:dyDescent="0.25">
      <c r="A25" s="55" t="s">
        <v>64</v>
      </c>
      <c r="B25" s="56">
        <f>B13/B19</f>
        <v>4.75</v>
      </c>
      <c r="C25" s="56">
        <f>C13/C19</f>
        <v>6.1428571428571432</v>
      </c>
      <c r="D25" s="56">
        <f>D13/D19</f>
        <v>3.2592592592592591</v>
      </c>
      <c r="E25" s="56">
        <f>E13/E19</f>
        <v>3.0952380952380953</v>
      </c>
      <c r="F25" s="56">
        <f>F13/F19</f>
        <v>4.1428571428571432</v>
      </c>
      <c r="G25" s="57">
        <f>AVERAGE(B25:F25)</f>
        <v>4.2780423280423276</v>
      </c>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111"/>
      <c r="C29" s="111"/>
      <c r="D29" s="111"/>
      <c r="E29" s="111"/>
      <c r="F29" s="111"/>
      <c r="G29" s="112"/>
    </row>
    <row r="30" spans="1:8" x14ac:dyDescent="0.2">
      <c r="A30" s="60" t="s">
        <v>8</v>
      </c>
      <c r="B30" s="61">
        <v>1020</v>
      </c>
      <c r="C30" s="61">
        <v>1263</v>
      </c>
      <c r="D30" s="61">
        <v>1149</v>
      </c>
      <c r="E30" s="61">
        <v>894</v>
      </c>
      <c r="F30" s="61">
        <v>870</v>
      </c>
      <c r="G30" s="62">
        <f>AVERAGE(B30:F30)</f>
        <v>1039.2</v>
      </c>
    </row>
    <row r="31" spans="1:8" ht="13.5" thickBot="1" x14ac:dyDescent="0.25">
      <c r="A31" s="22" t="s">
        <v>4</v>
      </c>
      <c r="B31" s="23">
        <f>SUM(B29:B30)</f>
        <v>1020</v>
      </c>
      <c r="C31" s="23">
        <f>SUM(C29:C30)</f>
        <v>1263</v>
      </c>
      <c r="D31" s="23">
        <f>SUM(D29:D30)</f>
        <v>1149</v>
      </c>
      <c r="E31" s="23">
        <f>SUM(E29:E30)</f>
        <v>894</v>
      </c>
      <c r="F31" s="23">
        <f>SUM(F29:F30)</f>
        <v>870</v>
      </c>
      <c r="G31" s="24">
        <f>AVERAGE(B31:F31)</f>
        <v>1039.2</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123"/>
      <c r="C35" s="123"/>
      <c r="D35" s="155"/>
      <c r="E35" s="155"/>
      <c r="F35" s="155"/>
      <c r="G35" s="154"/>
    </row>
    <row r="36" spans="1:8" ht="13.5" thickBot="1" x14ac:dyDescent="0.25">
      <c r="A36" s="64" t="s">
        <v>8</v>
      </c>
      <c r="B36" s="65">
        <v>18.399999999999999</v>
      </c>
      <c r="C36" s="65">
        <v>17.899999999999999</v>
      </c>
      <c r="D36" s="65">
        <v>16</v>
      </c>
      <c r="E36" s="65">
        <v>13</v>
      </c>
      <c r="F36" s="65">
        <v>11.3</v>
      </c>
      <c r="G36" s="57">
        <f>AVERAGE(B36:F36)</f>
        <v>15.319999999999999</v>
      </c>
    </row>
    <row r="37" spans="1:8" ht="9.9499999999999993" customHeight="1" thickBot="1" x14ac:dyDescent="0.25">
      <c r="A37" s="66"/>
      <c r="D37" s="58"/>
      <c r="E37" s="58"/>
      <c r="F37" s="58"/>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4</v>
      </c>
      <c r="C40" s="32">
        <v>4</v>
      </c>
      <c r="D40" s="32">
        <v>4</v>
      </c>
      <c r="E40" s="32">
        <v>4</v>
      </c>
      <c r="F40" s="32">
        <v>4</v>
      </c>
      <c r="G40" s="45">
        <f>AVERAGE(B40:F40)</f>
        <v>4</v>
      </c>
    </row>
    <row r="41" spans="1:8" x14ac:dyDescent="0.2">
      <c r="A41" s="60" t="s">
        <v>3</v>
      </c>
      <c r="B41" s="32">
        <v>0</v>
      </c>
      <c r="C41" s="32">
        <v>2</v>
      </c>
      <c r="D41" s="32">
        <v>1</v>
      </c>
      <c r="E41" s="32">
        <v>0</v>
      </c>
      <c r="F41" s="32">
        <v>0</v>
      </c>
      <c r="G41" s="45">
        <f>AVERAGE(B41:F41)</f>
        <v>0.6</v>
      </c>
    </row>
    <row r="42" spans="1:8" x14ac:dyDescent="0.2">
      <c r="A42" s="13" t="s">
        <v>4</v>
      </c>
      <c r="B42" s="14">
        <f>SUM(B40:B41)</f>
        <v>4</v>
      </c>
      <c r="C42" s="14">
        <f>SUM(C40:C41)</f>
        <v>6</v>
      </c>
      <c r="D42" s="14">
        <f>SUM(D40:D41)</f>
        <v>5</v>
      </c>
      <c r="E42" s="14">
        <f>SUM(E40:E41)</f>
        <v>4</v>
      </c>
      <c r="F42" s="14">
        <f>SUM(F40:F41)</f>
        <v>4</v>
      </c>
      <c r="G42" s="17">
        <f>AVERAGE(B42:F42)</f>
        <v>4.5999999999999996</v>
      </c>
    </row>
    <row r="43" spans="1:8" ht="13.5" thickBot="1" x14ac:dyDescent="0.25">
      <c r="A43" s="39" t="s">
        <v>49</v>
      </c>
      <c r="B43" s="40">
        <f>B40+(B41/3)</f>
        <v>4</v>
      </c>
      <c r="C43" s="40">
        <f>C40+(C41/3)</f>
        <v>4.666666666666667</v>
      </c>
      <c r="D43" s="40">
        <f>D40+(D41/3)</f>
        <v>4.333333333333333</v>
      </c>
      <c r="E43" s="40">
        <f>E40+(E41/3)</f>
        <v>4</v>
      </c>
      <c r="F43" s="40">
        <f>F40+(F41/3)</f>
        <v>4</v>
      </c>
      <c r="G43" s="67">
        <f>AVERAGE(B43:F43)</f>
        <v>4.2</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12.166666666666666</v>
      </c>
      <c r="C47" s="56">
        <f>(C8+C14)/C43</f>
        <v>11.714285714285714</v>
      </c>
      <c r="D47" s="56">
        <f>(D8+D14)/D43</f>
        <v>12.769230769230768</v>
      </c>
      <c r="E47" s="56">
        <f>(E8+E14)/E43</f>
        <v>9.0833333333333339</v>
      </c>
      <c r="F47" s="56">
        <f>(F8+F14)/F43</f>
        <v>8.6666666666666661</v>
      </c>
      <c r="G47" s="57">
        <f>AVERAGE(B47:F47)</f>
        <v>10.88003663003663</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255</v>
      </c>
      <c r="C51" s="56">
        <f>C31/C43</f>
        <v>270.64285714285711</v>
      </c>
      <c r="D51" s="56">
        <f>D31/D43</f>
        <v>265.15384615384619</v>
      </c>
      <c r="E51" s="56">
        <f>E31/E43</f>
        <v>223.5</v>
      </c>
      <c r="F51" s="56">
        <f>F31/F43</f>
        <v>217.5</v>
      </c>
      <c r="G51" s="57">
        <f>AVERAGE(B51:F51)</f>
        <v>246.35934065934066</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432821</v>
      </c>
      <c r="C55" s="73">
        <f>439024.74+300.19</f>
        <v>439324.93</v>
      </c>
      <c r="D55" s="73">
        <f>440608.44+1154.87</f>
        <v>441763.31</v>
      </c>
      <c r="E55" s="73">
        <v>372668</v>
      </c>
      <c r="F55" s="73">
        <v>408863</v>
      </c>
      <c r="G55" s="74">
        <f>AVERAGE(B55:F55)</f>
        <v>419088.04800000001</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424.33431372549018</v>
      </c>
      <c r="C59" s="76">
        <f>C55/C31</f>
        <v>347.84238321456849</v>
      </c>
      <c r="D59" s="76">
        <f>D55/D31</f>
        <v>384.47633594429936</v>
      </c>
      <c r="E59" s="76">
        <f>E55/E31</f>
        <v>416.8545861297539</v>
      </c>
      <c r="F59" s="76">
        <f>F55/F31</f>
        <v>469.95747126436783</v>
      </c>
      <c r="G59" s="74">
        <f>AVERAGE(B59:F59)</f>
        <v>408.69301805569592</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108205.25</v>
      </c>
      <c r="C63" s="75">
        <f t="shared" ref="C63:F63" si="1">C55/C43</f>
        <v>94141.056428571421</v>
      </c>
      <c r="D63" s="75">
        <f t="shared" si="1"/>
        <v>101945.37923076923</v>
      </c>
      <c r="E63" s="75">
        <f t="shared" si="1"/>
        <v>93167</v>
      </c>
      <c r="F63" s="75">
        <f t="shared" si="1"/>
        <v>102215.75</v>
      </c>
      <c r="G63" s="74">
        <f>AVERAGE(B63:F63)</f>
        <v>99934.887131868134</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186" t="s">
        <v>28</v>
      </c>
      <c r="C1" s="188"/>
      <c r="D1" s="188"/>
      <c r="E1" s="189"/>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385</v>
      </c>
      <c r="C5" s="33">
        <v>317</v>
      </c>
      <c r="D5" s="32">
        <v>294</v>
      </c>
      <c r="E5" s="32">
        <v>290</v>
      </c>
      <c r="F5" s="32">
        <v>301</v>
      </c>
      <c r="G5" s="34">
        <f>AVERAGE(B5:F5)</f>
        <v>317.39999999999998</v>
      </c>
    </row>
    <row r="6" spans="1:8" x14ac:dyDescent="0.2">
      <c r="A6" s="31" t="s">
        <v>3</v>
      </c>
      <c r="B6" s="32">
        <v>27</v>
      </c>
      <c r="C6" s="33">
        <v>29</v>
      </c>
      <c r="D6" s="32">
        <v>28</v>
      </c>
      <c r="E6" s="32">
        <v>22</v>
      </c>
      <c r="F6" s="32">
        <v>22</v>
      </c>
      <c r="G6" s="34">
        <f>AVERAGE(B6:F6)</f>
        <v>25.6</v>
      </c>
    </row>
    <row r="7" spans="1:8" x14ac:dyDescent="0.2">
      <c r="A7" s="13" t="s">
        <v>4</v>
      </c>
      <c r="B7" s="14">
        <f>SUM(B5:B6)</f>
        <v>412</v>
      </c>
      <c r="C7" s="14">
        <f>SUM(C5:C6)</f>
        <v>346</v>
      </c>
      <c r="D7" s="14">
        <f>SUM(D5:D6)</f>
        <v>322</v>
      </c>
      <c r="E7" s="15">
        <f>SUM(E5:E6)</f>
        <v>312</v>
      </c>
      <c r="F7" s="15">
        <f>SUM(F5:F6)</f>
        <v>323</v>
      </c>
      <c r="G7" s="17">
        <f>AVERAGE(B7:F7)</f>
        <v>343</v>
      </c>
    </row>
    <row r="8" spans="1:8" ht="13.5" thickBot="1" x14ac:dyDescent="0.25">
      <c r="A8" s="35" t="s">
        <v>48</v>
      </c>
      <c r="B8" s="36">
        <f>B5+(B6/3)</f>
        <v>394</v>
      </c>
      <c r="C8" s="36">
        <f>C5+(C6/3)</f>
        <v>326.66666666666669</v>
      </c>
      <c r="D8" s="36">
        <f>D5+(D6/3)</f>
        <v>303.33333333333331</v>
      </c>
      <c r="E8" s="37">
        <f>E5+(E6/3)</f>
        <v>297.33333333333331</v>
      </c>
      <c r="F8" s="37">
        <f>F5+(F6/3)</f>
        <v>308.33333333333331</v>
      </c>
      <c r="G8" s="38">
        <f>AVERAGE(B8:F8)</f>
        <v>325.93333333333328</v>
      </c>
    </row>
    <row r="9" spans="1:8" ht="7.5" customHeight="1" thickBot="1" x14ac:dyDescent="0.25">
      <c r="A9" s="9"/>
      <c r="B9" s="10"/>
      <c r="C9" s="10"/>
      <c r="D9" s="10"/>
      <c r="E9" s="11"/>
      <c r="F9" s="11"/>
      <c r="G9" s="12"/>
    </row>
    <row r="10" spans="1:8" x14ac:dyDescent="0.2">
      <c r="A10" s="29" t="s">
        <v>5</v>
      </c>
      <c r="B10" s="4"/>
      <c r="C10" s="4"/>
      <c r="D10" s="4"/>
      <c r="E10" s="4"/>
      <c r="F10" s="4"/>
      <c r="G10" s="30"/>
    </row>
    <row r="11" spans="1:8" x14ac:dyDescent="0.2">
      <c r="A11" s="31" t="s">
        <v>2</v>
      </c>
      <c r="B11" s="32">
        <v>23</v>
      </c>
      <c r="C11" s="33">
        <v>9</v>
      </c>
      <c r="D11" s="32">
        <v>23</v>
      </c>
      <c r="E11" s="32">
        <v>23</v>
      </c>
      <c r="F11" s="32">
        <v>15</v>
      </c>
      <c r="G11" s="34">
        <f>AVERAGE(B11:F11)</f>
        <v>18.600000000000001</v>
      </c>
    </row>
    <row r="12" spans="1:8" x14ac:dyDescent="0.2">
      <c r="A12" s="31" t="s">
        <v>3</v>
      </c>
      <c r="B12" s="32">
        <v>83</v>
      </c>
      <c r="C12" s="33">
        <v>133</v>
      </c>
      <c r="D12" s="32">
        <v>126</v>
      </c>
      <c r="E12" s="32">
        <v>91</v>
      </c>
      <c r="F12" s="32">
        <v>102</v>
      </c>
      <c r="G12" s="34">
        <f>AVERAGE(B12:F12)</f>
        <v>107</v>
      </c>
    </row>
    <row r="13" spans="1:8" x14ac:dyDescent="0.2">
      <c r="A13" s="13" t="s">
        <v>4</v>
      </c>
      <c r="B13" s="14">
        <f>SUM(B11:B12)</f>
        <v>106</v>
      </c>
      <c r="C13" s="14">
        <f>SUM(C11:C12)</f>
        <v>142</v>
      </c>
      <c r="D13" s="14">
        <f>SUM(D11:D12)</f>
        <v>149</v>
      </c>
      <c r="E13" s="15">
        <f>SUM(E11:E12)</f>
        <v>114</v>
      </c>
      <c r="F13" s="14">
        <f>SUM(F11:F12)</f>
        <v>117</v>
      </c>
      <c r="G13" s="16">
        <f>AVERAGE(B13:F13)</f>
        <v>125.6</v>
      </c>
    </row>
    <row r="14" spans="1:8" ht="13.5" thickBot="1" x14ac:dyDescent="0.25">
      <c r="A14" s="39" t="s">
        <v>48</v>
      </c>
      <c r="B14" s="40">
        <f>B11+(B12/3)</f>
        <v>50.666666666666671</v>
      </c>
      <c r="C14" s="40">
        <f>C11+(C12/3)</f>
        <v>53.333333333333336</v>
      </c>
      <c r="D14" s="40">
        <f>D11+(D12/3)</f>
        <v>65</v>
      </c>
      <c r="E14" s="41">
        <f>E11+(E12/3)</f>
        <v>53.333333333333329</v>
      </c>
      <c r="F14" s="40">
        <f>F11+(F12/3)</f>
        <v>49</v>
      </c>
      <c r="G14" s="42">
        <f>AVERAGE(B14:F14)</f>
        <v>54.266666666666666</v>
      </c>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74</v>
      </c>
      <c r="C18" s="32">
        <v>59</v>
      </c>
      <c r="D18" s="32">
        <v>63</v>
      </c>
      <c r="E18" s="32">
        <v>57</v>
      </c>
      <c r="F18" s="32">
        <v>48</v>
      </c>
      <c r="G18" s="45">
        <f>AVERAGE(B18:F18)</f>
        <v>60.2</v>
      </c>
    </row>
    <row r="19" spans="1:8" x14ac:dyDescent="0.2">
      <c r="A19" s="46" t="s">
        <v>63</v>
      </c>
      <c r="B19" s="47">
        <v>23</v>
      </c>
      <c r="C19" s="47">
        <v>15</v>
      </c>
      <c r="D19" s="47">
        <v>25</v>
      </c>
      <c r="E19" s="47">
        <v>27</v>
      </c>
      <c r="F19" s="47">
        <v>43</v>
      </c>
      <c r="G19" s="48">
        <f>AVERAGE(B19:F19)</f>
        <v>26.6</v>
      </c>
    </row>
    <row r="20" spans="1:8" ht="13.5" thickBot="1" x14ac:dyDescent="0.25">
      <c r="A20" s="49" t="s">
        <v>4</v>
      </c>
      <c r="B20" s="79">
        <f>B19+B18</f>
        <v>97</v>
      </c>
      <c r="C20" s="79">
        <f t="shared" ref="C20:F20" si="0">C19+C18</f>
        <v>74</v>
      </c>
      <c r="D20" s="79">
        <f t="shared" si="0"/>
        <v>88</v>
      </c>
      <c r="E20" s="79">
        <f t="shared" si="0"/>
        <v>84</v>
      </c>
      <c r="F20" s="79">
        <f t="shared" si="0"/>
        <v>91</v>
      </c>
      <c r="G20" s="51">
        <f>AVERAGE(B20:F20)</f>
        <v>86.8</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5.5675675675675675</v>
      </c>
      <c r="C24" s="54">
        <f>C7/C18</f>
        <v>5.8644067796610173</v>
      </c>
      <c r="D24" s="54">
        <f>D7/D18</f>
        <v>5.1111111111111107</v>
      </c>
      <c r="E24" s="54">
        <f>E7/E18</f>
        <v>5.4736842105263159</v>
      </c>
      <c r="F24" s="54">
        <f>F7/F18</f>
        <v>6.729166666666667</v>
      </c>
      <c r="G24" s="45">
        <f>AVERAGE(B24:F24)</f>
        <v>5.749187267106536</v>
      </c>
    </row>
    <row r="25" spans="1:8" ht="13.5" thickBot="1" x14ac:dyDescent="0.25">
      <c r="A25" s="55" t="s">
        <v>64</v>
      </c>
      <c r="B25" s="56">
        <f>B13/B19</f>
        <v>4.6086956521739131</v>
      </c>
      <c r="C25" s="56">
        <f>C13/C19</f>
        <v>9.4666666666666668</v>
      </c>
      <c r="D25" s="56">
        <f>D13/D19</f>
        <v>5.96</v>
      </c>
      <c r="E25" s="56">
        <f>E13/E19</f>
        <v>4.2222222222222223</v>
      </c>
      <c r="F25" s="56">
        <f>F13/F19</f>
        <v>2.7209302325581395</v>
      </c>
      <c r="G25" s="57">
        <f>AVERAGE(B25:F25)</f>
        <v>5.3957029547241877</v>
      </c>
    </row>
    <row r="26" spans="1:8" ht="9.9499999999999993" customHeight="1" thickBot="1" x14ac:dyDescent="0.25">
      <c r="A26" s="58"/>
      <c r="B26" s="58"/>
      <c r="C26" s="58"/>
      <c r="D26" s="58"/>
      <c r="E26" s="58"/>
      <c r="F26" s="58"/>
      <c r="G26" s="58"/>
      <c r="H26" s="58"/>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4548</v>
      </c>
      <c r="C29" s="61">
        <v>4444</v>
      </c>
      <c r="D29" s="61">
        <v>4127</v>
      </c>
      <c r="E29" s="61">
        <v>3641</v>
      </c>
      <c r="F29" s="61">
        <v>4081</v>
      </c>
      <c r="G29" s="62">
        <f>AVERAGE(B29:F29)</f>
        <v>4168.2</v>
      </c>
    </row>
    <row r="30" spans="1:8" x14ac:dyDescent="0.2">
      <c r="A30" s="60" t="s">
        <v>8</v>
      </c>
      <c r="B30" s="61">
        <v>1077</v>
      </c>
      <c r="C30" s="61">
        <v>969</v>
      </c>
      <c r="D30" s="61">
        <v>1104</v>
      </c>
      <c r="E30" s="61">
        <v>1344</v>
      </c>
      <c r="F30" s="61">
        <v>1536</v>
      </c>
      <c r="G30" s="62">
        <f>AVERAGE(B30:F30)</f>
        <v>1206</v>
      </c>
    </row>
    <row r="31" spans="1:8" ht="13.5" thickBot="1" x14ac:dyDescent="0.25">
      <c r="A31" s="22" t="s">
        <v>4</v>
      </c>
      <c r="B31" s="23">
        <f>SUM(B29:B30)</f>
        <v>5625</v>
      </c>
      <c r="C31" s="23">
        <f>SUM(C29:C30)</f>
        <v>5413</v>
      </c>
      <c r="D31" s="23">
        <f>SUM(D29:D30)</f>
        <v>5231</v>
      </c>
      <c r="E31" s="23">
        <f>SUM(E29:E30)</f>
        <v>4985</v>
      </c>
      <c r="F31" s="23">
        <f>SUM(F29:F30)</f>
        <v>5617</v>
      </c>
      <c r="G31" s="24">
        <f>AVERAGE(B31:F31)</f>
        <v>5374.2</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21.3</v>
      </c>
      <c r="C35" s="32">
        <v>22.7</v>
      </c>
      <c r="D35" s="63">
        <v>19.2</v>
      </c>
      <c r="E35" s="63">
        <v>17.8</v>
      </c>
      <c r="F35" s="63">
        <v>19.5</v>
      </c>
      <c r="G35" s="45">
        <f>AVERAGE(B35:F35)</f>
        <v>20.100000000000001</v>
      </c>
    </row>
    <row r="36" spans="1:8" ht="13.5" thickBot="1" x14ac:dyDescent="0.25">
      <c r="A36" s="64" t="s">
        <v>8</v>
      </c>
      <c r="B36" s="65">
        <v>17.5</v>
      </c>
      <c r="C36" s="65">
        <v>14.5</v>
      </c>
      <c r="D36" s="65">
        <v>17</v>
      </c>
      <c r="E36" s="65">
        <v>20.7</v>
      </c>
      <c r="F36" s="65">
        <v>20.9</v>
      </c>
      <c r="G36" s="57">
        <f>AVERAGE(B36:F36)</f>
        <v>18.119999999999997</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10</v>
      </c>
      <c r="C40" s="32">
        <v>10</v>
      </c>
      <c r="D40" s="32">
        <v>9</v>
      </c>
      <c r="E40" s="32">
        <v>9</v>
      </c>
      <c r="F40" s="32">
        <v>9</v>
      </c>
      <c r="G40" s="45">
        <f>AVERAGE(B40:F40)</f>
        <v>9.4</v>
      </c>
    </row>
    <row r="41" spans="1:8" x14ac:dyDescent="0.2">
      <c r="A41" s="60" t="s">
        <v>3</v>
      </c>
      <c r="B41" s="32">
        <v>1</v>
      </c>
      <c r="C41" s="32">
        <v>1</v>
      </c>
      <c r="D41" s="32">
        <v>3</v>
      </c>
      <c r="E41" s="32">
        <v>6</v>
      </c>
      <c r="F41" s="32">
        <v>6</v>
      </c>
      <c r="G41" s="45">
        <f>AVERAGE(B41:F41)</f>
        <v>3.4</v>
      </c>
    </row>
    <row r="42" spans="1:8" x14ac:dyDescent="0.2">
      <c r="A42" s="13" t="s">
        <v>4</v>
      </c>
      <c r="B42" s="14">
        <f>SUM(B40:B41)</f>
        <v>11</v>
      </c>
      <c r="C42" s="14">
        <f>SUM(C40:C41)</f>
        <v>11</v>
      </c>
      <c r="D42" s="14">
        <f>SUM(D40:D41)</f>
        <v>12</v>
      </c>
      <c r="E42" s="14">
        <f>SUM(E40:E41)</f>
        <v>15</v>
      </c>
      <c r="F42" s="14">
        <f>SUM(F40:F41)</f>
        <v>15</v>
      </c>
      <c r="G42" s="17">
        <f>AVERAGE(B42:F42)</f>
        <v>12.8</v>
      </c>
    </row>
    <row r="43" spans="1:8" ht="13.5" thickBot="1" x14ac:dyDescent="0.25">
      <c r="A43" s="39" t="s">
        <v>49</v>
      </c>
      <c r="B43" s="40">
        <f>B40+(B41/3)</f>
        <v>10.333333333333334</v>
      </c>
      <c r="C43" s="40">
        <f>C40+(C41/3)</f>
        <v>10.333333333333334</v>
      </c>
      <c r="D43" s="40">
        <f>D40+(D41/3)</f>
        <v>10</v>
      </c>
      <c r="E43" s="40">
        <f>E40+(E41/3)</f>
        <v>11</v>
      </c>
      <c r="F43" s="40">
        <f>F40+(F41/3)</f>
        <v>11</v>
      </c>
      <c r="G43" s="67">
        <f>AVERAGE(B43:F43)</f>
        <v>10.533333333333335</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43.032258064516128</v>
      </c>
      <c r="C47" s="56">
        <f>(C8+C14)/C43</f>
        <v>36.774193548387096</v>
      </c>
      <c r="D47" s="56">
        <f>(D8+D14)/D43</f>
        <v>36.833333333333329</v>
      </c>
      <c r="E47" s="56">
        <f>(E8+E14)/E43</f>
        <v>31.878787878787875</v>
      </c>
      <c r="F47" s="56">
        <f>(F8+F14)/F43</f>
        <v>32.484848484848484</v>
      </c>
      <c r="G47" s="57">
        <f>AVERAGE(B47:F47)</f>
        <v>36.200684261974587</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544.35483870967744</v>
      </c>
      <c r="C51" s="56">
        <f>C31/C43</f>
        <v>523.83870967741927</v>
      </c>
      <c r="D51" s="56">
        <f>D31/D43</f>
        <v>523.1</v>
      </c>
      <c r="E51" s="56">
        <f>E31/E43</f>
        <v>453.18181818181819</v>
      </c>
      <c r="F51" s="56">
        <f>F31/F43</f>
        <v>510.63636363636363</v>
      </c>
      <c r="G51" s="57">
        <f>AVERAGE(B51:F51)</f>
        <v>511.0223460410557</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907913</v>
      </c>
      <c r="C55" s="73">
        <f>1008806.92+3165.35</f>
        <v>1011972.27</v>
      </c>
      <c r="D55" s="73">
        <f>1014243.82+3028.39</f>
        <v>1017272.21</v>
      </c>
      <c r="E55" s="73">
        <v>1078059</v>
      </c>
      <c r="F55" s="73">
        <v>1091161</v>
      </c>
      <c r="G55" s="74">
        <f>AVERAGE(B55:F55)</f>
        <v>1021275.496</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161.40675555555555</v>
      </c>
      <c r="C59" s="76">
        <f>C55/C31</f>
        <v>186.95220210604103</v>
      </c>
      <c r="D59" s="76">
        <f>D55/D31</f>
        <v>194.46993117950677</v>
      </c>
      <c r="E59" s="76">
        <f>E55/E31</f>
        <v>216.2605817452357</v>
      </c>
      <c r="F59" s="76">
        <f>F55/F31</f>
        <v>194.26045931992167</v>
      </c>
      <c r="G59" s="74">
        <f>AVERAGE(B59:F59)</f>
        <v>190.66998598125215</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87862.548387096773</v>
      </c>
      <c r="C63" s="75">
        <f t="shared" ref="C63:F63" si="1">C55/C43</f>
        <v>97932.800322580646</v>
      </c>
      <c r="D63" s="75">
        <f t="shared" si="1"/>
        <v>101727.22099999999</v>
      </c>
      <c r="E63" s="75">
        <f t="shared" si="1"/>
        <v>98005.363636363632</v>
      </c>
      <c r="F63" s="75">
        <f t="shared" si="1"/>
        <v>99196.454545454544</v>
      </c>
      <c r="G63" s="74">
        <f>AVERAGE(B63:F63)</f>
        <v>96944.877578299114</v>
      </c>
    </row>
  </sheetData>
  <mergeCells count="1">
    <mergeCell ref="B1:E1"/>
  </mergeCells>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8" x14ac:dyDescent="0.2">
      <c r="A1" s="26" t="s">
        <v>13</v>
      </c>
      <c r="B1" s="27" t="s">
        <v>29</v>
      </c>
      <c r="C1" s="26"/>
      <c r="D1" s="26"/>
      <c r="E1" s="28"/>
      <c r="F1" s="28"/>
      <c r="G1" s="28"/>
      <c r="H1" s="28"/>
    </row>
    <row r="2" spans="1:8" ht="7.5" customHeight="1" thickBot="1" x14ac:dyDescent="0.25">
      <c r="A2" s="28"/>
      <c r="B2" s="28"/>
      <c r="C2" s="28"/>
      <c r="D2" s="28"/>
      <c r="E2" s="28"/>
      <c r="F2" s="28"/>
      <c r="G2" s="28"/>
      <c r="H2" s="28"/>
    </row>
    <row r="3" spans="1:8" ht="15" customHeight="1" x14ac:dyDescent="0.2">
      <c r="A3" s="5" t="s">
        <v>69</v>
      </c>
      <c r="B3" s="6"/>
      <c r="C3" s="6"/>
      <c r="D3" s="6"/>
      <c r="E3" s="6"/>
      <c r="F3" s="6"/>
      <c r="G3" s="7"/>
    </row>
    <row r="4" spans="1:8" x14ac:dyDescent="0.2">
      <c r="A4" s="29" t="s">
        <v>0</v>
      </c>
      <c r="B4" s="4" t="s">
        <v>53</v>
      </c>
      <c r="C4" s="4" t="s">
        <v>55</v>
      </c>
      <c r="D4" s="4" t="s">
        <v>59</v>
      </c>
      <c r="E4" s="4" t="s">
        <v>60</v>
      </c>
      <c r="F4" s="4" t="s">
        <v>67</v>
      </c>
      <c r="G4" s="30" t="s">
        <v>1</v>
      </c>
    </row>
    <row r="5" spans="1:8" x14ac:dyDescent="0.2">
      <c r="A5" s="31" t="s">
        <v>2</v>
      </c>
      <c r="B5" s="32">
        <v>201</v>
      </c>
      <c r="C5" s="33">
        <v>215</v>
      </c>
      <c r="D5" s="32">
        <v>208</v>
      </c>
      <c r="E5" s="32">
        <v>192</v>
      </c>
      <c r="F5" s="32">
        <v>175</v>
      </c>
      <c r="G5" s="34">
        <f>AVERAGE(B5:F5)</f>
        <v>198.2</v>
      </c>
    </row>
    <row r="6" spans="1:8" x14ac:dyDescent="0.2">
      <c r="A6" s="31" t="s">
        <v>3</v>
      </c>
      <c r="B6" s="32">
        <v>25</v>
      </c>
      <c r="C6" s="33">
        <v>37</v>
      </c>
      <c r="D6" s="32">
        <v>32</v>
      </c>
      <c r="E6" s="32">
        <v>29</v>
      </c>
      <c r="F6" s="32">
        <v>38</v>
      </c>
      <c r="G6" s="34">
        <f>AVERAGE(B6:F6)</f>
        <v>32.200000000000003</v>
      </c>
    </row>
    <row r="7" spans="1:8" x14ac:dyDescent="0.2">
      <c r="A7" s="13" t="s">
        <v>4</v>
      </c>
      <c r="B7" s="14">
        <f>SUM(B5:B6)</f>
        <v>226</v>
      </c>
      <c r="C7" s="14">
        <f>SUM(C5:C6)</f>
        <v>252</v>
      </c>
      <c r="D7" s="14">
        <f>SUM(D5:D6)</f>
        <v>240</v>
      </c>
      <c r="E7" s="15">
        <f>SUM(E5:E6)</f>
        <v>221</v>
      </c>
      <c r="F7" s="15">
        <f>SUM(F5:F6)</f>
        <v>213</v>
      </c>
      <c r="G7" s="17">
        <f>AVERAGE(B7:F7)</f>
        <v>230.4</v>
      </c>
    </row>
    <row r="8" spans="1:8" ht="13.5" thickBot="1" x14ac:dyDescent="0.25">
      <c r="A8" s="35" t="s">
        <v>48</v>
      </c>
      <c r="B8" s="36">
        <f>B5+(B6/3)</f>
        <v>209.33333333333334</v>
      </c>
      <c r="C8" s="36">
        <f>C5+(C6/3)</f>
        <v>227.33333333333334</v>
      </c>
      <c r="D8" s="36">
        <f>D5+(D6/3)</f>
        <v>218.66666666666666</v>
      </c>
      <c r="E8" s="37">
        <f>E5+(E6/3)</f>
        <v>201.66666666666666</v>
      </c>
      <c r="F8" s="37">
        <f>F5+(F6/3)</f>
        <v>187.66666666666666</v>
      </c>
      <c r="G8" s="38">
        <f>AVERAGE(B8:F8)</f>
        <v>208.93333333333334</v>
      </c>
    </row>
    <row r="9" spans="1:8" ht="7.5" customHeight="1" thickBot="1" x14ac:dyDescent="0.25">
      <c r="A9" s="9"/>
      <c r="B9" s="10"/>
      <c r="C9" s="10"/>
      <c r="D9" s="10"/>
      <c r="E9" s="11"/>
      <c r="F9" s="11"/>
      <c r="G9" s="12"/>
    </row>
    <row r="10" spans="1:8" x14ac:dyDescent="0.2">
      <c r="A10" s="29" t="s">
        <v>5</v>
      </c>
      <c r="B10" s="121"/>
      <c r="C10" s="121"/>
      <c r="D10" s="121"/>
      <c r="E10" s="121"/>
      <c r="F10" s="121"/>
      <c r="G10" s="122"/>
    </row>
    <row r="11" spans="1:8" x14ac:dyDescent="0.2">
      <c r="A11" s="31" t="s">
        <v>2</v>
      </c>
      <c r="B11" s="123"/>
      <c r="C11" s="124"/>
      <c r="D11" s="123"/>
      <c r="E11" s="123"/>
      <c r="F11" s="123"/>
      <c r="G11" s="125"/>
    </row>
    <row r="12" spans="1:8" x14ac:dyDescent="0.2">
      <c r="A12" s="31" t="s">
        <v>3</v>
      </c>
      <c r="B12" s="123"/>
      <c r="C12" s="124"/>
      <c r="D12" s="123"/>
      <c r="E12" s="123"/>
      <c r="F12" s="123"/>
      <c r="G12" s="125"/>
    </row>
    <row r="13" spans="1:8" x14ac:dyDescent="0.2">
      <c r="A13" s="13" t="s">
        <v>4</v>
      </c>
      <c r="B13" s="126"/>
      <c r="C13" s="126"/>
      <c r="D13" s="126"/>
      <c r="E13" s="127"/>
      <c r="F13" s="126"/>
      <c r="G13" s="128"/>
    </row>
    <row r="14" spans="1:8" ht="13.5" thickBot="1" x14ac:dyDescent="0.25">
      <c r="A14" s="39" t="s">
        <v>48</v>
      </c>
      <c r="B14" s="129"/>
      <c r="C14" s="129"/>
      <c r="D14" s="129"/>
      <c r="E14" s="130"/>
      <c r="F14" s="129"/>
      <c r="G14" s="131"/>
    </row>
    <row r="15" spans="1:8" ht="9.9499999999999993" customHeight="1" thickBot="1" x14ac:dyDescent="0.25"/>
    <row r="16" spans="1:8"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29</v>
      </c>
      <c r="C18" s="32">
        <v>28</v>
      </c>
      <c r="D18" s="32">
        <v>36</v>
      </c>
      <c r="E18" s="32">
        <v>35</v>
      </c>
      <c r="F18" s="32">
        <v>33</v>
      </c>
      <c r="G18" s="45">
        <f>AVERAGE(B18:F18)</f>
        <v>32.200000000000003</v>
      </c>
    </row>
    <row r="19" spans="1:8" x14ac:dyDescent="0.2">
      <c r="A19" s="46" t="s">
        <v>63</v>
      </c>
      <c r="B19" s="117"/>
      <c r="C19" s="117"/>
      <c r="D19" s="117"/>
      <c r="E19" s="117"/>
      <c r="F19" s="117"/>
      <c r="G19" s="118"/>
    </row>
    <row r="20" spans="1:8" ht="13.5" thickBot="1" x14ac:dyDescent="0.25">
      <c r="A20" s="49" t="s">
        <v>4</v>
      </c>
      <c r="B20" s="79">
        <f>B19+B18</f>
        <v>29</v>
      </c>
      <c r="C20" s="79">
        <f t="shared" ref="C20:F20" si="0">C19+C18</f>
        <v>28</v>
      </c>
      <c r="D20" s="79">
        <f t="shared" si="0"/>
        <v>36</v>
      </c>
      <c r="E20" s="79">
        <f t="shared" si="0"/>
        <v>35</v>
      </c>
      <c r="F20" s="79">
        <f t="shared" si="0"/>
        <v>33</v>
      </c>
      <c r="G20" s="51">
        <f>AVERAGE(B20:F20)</f>
        <v>32.200000000000003</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7.7931034482758621</v>
      </c>
      <c r="C24" s="54">
        <f>C7/C18</f>
        <v>9</v>
      </c>
      <c r="D24" s="54">
        <f>D7/D18</f>
        <v>6.666666666666667</v>
      </c>
      <c r="E24" s="54">
        <f>E7/E18</f>
        <v>6.3142857142857141</v>
      </c>
      <c r="F24" s="54">
        <f>F7/F18</f>
        <v>6.4545454545454541</v>
      </c>
      <c r="G24" s="45">
        <f>AVERAGE(B24:F24)</f>
        <v>7.2457202567547396</v>
      </c>
    </row>
    <row r="25" spans="1:8" ht="13.5" thickBot="1" x14ac:dyDescent="0.25">
      <c r="A25" s="55" t="s">
        <v>64</v>
      </c>
      <c r="B25" s="133"/>
      <c r="C25" s="133"/>
      <c r="D25" s="133"/>
      <c r="E25" s="133"/>
      <c r="F25" s="133"/>
      <c r="G25" s="120"/>
    </row>
    <row r="26" spans="1:8" ht="9.9499999999999993" customHeight="1" thickBot="1" x14ac:dyDescent="0.25">
      <c r="A26" s="58"/>
      <c r="B26" s="58"/>
      <c r="C26" s="58"/>
      <c r="D26" s="58"/>
      <c r="E26" s="58"/>
      <c r="F26" s="58"/>
      <c r="G26" s="58"/>
      <c r="H26" s="58"/>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5022</v>
      </c>
      <c r="C29" s="61">
        <v>5655</v>
      </c>
      <c r="D29" s="61">
        <v>5184</v>
      </c>
      <c r="E29" s="61">
        <v>5037</v>
      </c>
      <c r="F29" s="61">
        <v>4699</v>
      </c>
      <c r="G29" s="62">
        <f>AVERAGE(B29:F29)</f>
        <v>5119.3999999999996</v>
      </c>
    </row>
    <row r="30" spans="1:8" x14ac:dyDescent="0.2">
      <c r="A30" s="60" t="s">
        <v>8</v>
      </c>
      <c r="B30" s="111"/>
      <c r="C30" s="111"/>
      <c r="D30" s="111"/>
      <c r="E30" s="111"/>
      <c r="F30" s="111"/>
      <c r="G30" s="112"/>
    </row>
    <row r="31" spans="1:8" ht="13.5" thickBot="1" x14ac:dyDescent="0.25">
      <c r="A31" s="22" t="s">
        <v>4</v>
      </c>
      <c r="B31" s="23">
        <f>SUM(B29:B30)</f>
        <v>5022</v>
      </c>
      <c r="C31" s="23">
        <f>SUM(C29:C30)</f>
        <v>5655</v>
      </c>
      <c r="D31" s="23">
        <f>SUM(D29:D30)</f>
        <v>5184</v>
      </c>
      <c r="E31" s="23">
        <f>SUM(E29:E30)</f>
        <v>5037</v>
      </c>
      <c r="F31" s="23">
        <f>SUM(F29:F30)</f>
        <v>4699</v>
      </c>
      <c r="G31" s="24">
        <f>AVERAGE(B31:F31)</f>
        <v>5119.3999999999996</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26.9</v>
      </c>
      <c r="C35" s="32">
        <v>26.2</v>
      </c>
      <c r="D35" s="63">
        <v>21.1</v>
      </c>
      <c r="E35" s="63">
        <v>20.6</v>
      </c>
      <c r="F35" s="63">
        <v>18.3</v>
      </c>
      <c r="G35" s="45">
        <f>AVERAGE(B35:F35)</f>
        <v>22.619999999999997</v>
      </c>
    </row>
    <row r="36" spans="1:8" ht="13.5" thickBot="1" x14ac:dyDescent="0.25">
      <c r="A36" s="64" t="s">
        <v>8</v>
      </c>
      <c r="B36" s="119"/>
      <c r="C36" s="119"/>
      <c r="D36" s="119"/>
      <c r="E36" s="119"/>
      <c r="F36" s="119"/>
      <c r="G36" s="120"/>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5</v>
      </c>
      <c r="C40" s="32">
        <v>5</v>
      </c>
      <c r="D40" s="32">
        <v>6</v>
      </c>
      <c r="E40" s="32">
        <v>6</v>
      </c>
      <c r="F40" s="32">
        <v>6</v>
      </c>
      <c r="G40" s="45">
        <f>AVERAGE(B40:F40)</f>
        <v>5.6</v>
      </c>
    </row>
    <row r="41" spans="1:8" x14ac:dyDescent="0.2">
      <c r="A41" s="60" t="s">
        <v>3</v>
      </c>
      <c r="B41" s="32">
        <v>3</v>
      </c>
      <c r="C41" s="32">
        <v>4</v>
      </c>
      <c r="D41" s="32">
        <v>3</v>
      </c>
      <c r="E41" s="32">
        <v>2</v>
      </c>
      <c r="F41" s="32">
        <v>5</v>
      </c>
      <c r="G41" s="45">
        <f>AVERAGE(B41:F41)</f>
        <v>3.4</v>
      </c>
    </row>
    <row r="42" spans="1:8" x14ac:dyDescent="0.2">
      <c r="A42" s="13" t="s">
        <v>4</v>
      </c>
      <c r="B42" s="14">
        <f>SUM(B40:B41)</f>
        <v>8</v>
      </c>
      <c r="C42" s="14">
        <f>SUM(C40:C41)</f>
        <v>9</v>
      </c>
      <c r="D42" s="14">
        <f>SUM(D40:D41)</f>
        <v>9</v>
      </c>
      <c r="E42" s="14">
        <f>SUM(E40:E41)</f>
        <v>8</v>
      </c>
      <c r="F42" s="14">
        <f>SUM(F40:F41)</f>
        <v>11</v>
      </c>
      <c r="G42" s="17">
        <f>AVERAGE(B42:F42)</f>
        <v>9</v>
      </c>
    </row>
    <row r="43" spans="1:8" ht="13.5" thickBot="1" x14ac:dyDescent="0.25">
      <c r="A43" s="39" t="s">
        <v>49</v>
      </c>
      <c r="B43" s="40">
        <f>B40+(B41/3)</f>
        <v>6</v>
      </c>
      <c r="C43" s="40">
        <f>C40+(C41/3)</f>
        <v>6.333333333333333</v>
      </c>
      <c r="D43" s="40">
        <f>D40+(D41/3)</f>
        <v>7</v>
      </c>
      <c r="E43" s="40">
        <f>E40+(E41/3)</f>
        <v>6.666666666666667</v>
      </c>
      <c r="F43" s="40">
        <f>F40+(F41/3)</f>
        <v>7.666666666666667</v>
      </c>
      <c r="G43" s="67">
        <f>AVERAGE(B43:F43)</f>
        <v>6.7333333333333325</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34.888888888888893</v>
      </c>
      <c r="C47" s="56">
        <f>(C8+C14)/C43</f>
        <v>35.894736842105267</v>
      </c>
      <c r="D47" s="56">
        <f>(D8+D14)/D43</f>
        <v>31.238095238095237</v>
      </c>
      <c r="E47" s="56">
        <f>(E8+E14)/E43</f>
        <v>30.249999999999996</v>
      </c>
      <c r="F47" s="56">
        <f>(F8+F14)/F43</f>
        <v>24.478260869565215</v>
      </c>
      <c r="G47" s="57">
        <f>AVERAGE(B47:F47)</f>
        <v>31.34999636773092</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837</v>
      </c>
      <c r="C51" s="56">
        <f>C31/C43</f>
        <v>892.89473684210532</v>
      </c>
      <c r="D51" s="56">
        <f>D31/D43</f>
        <v>740.57142857142856</v>
      </c>
      <c r="E51" s="56">
        <f>E31/E43</f>
        <v>755.55</v>
      </c>
      <c r="F51" s="56">
        <f>F31/F43</f>
        <v>612.91304347826087</v>
      </c>
      <c r="G51" s="57">
        <f>AVERAGE(B51:F51)</f>
        <v>767.78584177835887</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452806</v>
      </c>
      <c r="C55" s="73">
        <f>584631.46+9569.97</f>
        <v>594201.42999999993</v>
      </c>
      <c r="D55" s="73">
        <f>657237.43+24870.58</f>
        <v>682108.01</v>
      </c>
      <c r="E55" s="73">
        <v>712035</v>
      </c>
      <c r="F55" s="73">
        <v>665374</v>
      </c>
      <c r="G55" s="74">
        <f>AVERAGE(B55:F55)</f>
        <v>621304.88800000004</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90.164476304261257</v>
      </c>
      <c r="C59" s="76">
        <f>C55/C31</f>
        <v>105.07540760389035</v>
      </c>
      <c r="D59" s="76">
        <f>D55/D31</f>
        <v>131.57947723765432</v>
      </c>
      <c r="E59" s="76">
        <f>E55/E31</f>
        <v>141.36092912447884</v>
      </c>
      <c r="F59" s="76">
        <f>F55/F31</f>
        <v>141.5990636305597</v>
      </c>
      <c r="G59" s="74">
        <f>AVERAGE(B59:F59)</f>
        <v>121.95587078016891</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75467.666666666672</v>
      </c>
      <c r="C63" s="75">
        <f t="shared" ref="C63:F63" si="1">C55/C43</f>
        <v>93821.27842105263</v>
      </c>
      <c r="D63" s="75">
        <f t="shared" si="1"/>
        <v>97444.001428571428</v>
      </c>
      <c r="E63" s="75">
        <f t="shared" si="1"/>
        <v>106805.25</v>
      </c>
      <c r="F63" s="75">
        <f t="shared" si="1"/>
        <v>86787.913043478256</v>
      </c>
      <c r="G63" s="74">
        <f>AVERAGE(B63:F63)</f>
        <v>92065.221911953791</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3"/>
  <sheetViews>
    <sheetView zoomScaleNormal="100" workbookViewId="0">
      <selection activeCell="B1" sqref="B1:D1"/>
    </sheetView>
  </sheetViews>
  <sheetFormatPr defaultRowHeight="12.75" x14ac:dyDescent="0.2"/>
  <cols>
    <col min="1" max="1" width="14.7109375" style="3" customWidth="1"/>
    <col min="2" max="6" width="11.7109375" style="3" customWidth="1"/>
    <col min="7" max="8" width="12.7109375" style="3" customWidth="1"/>
    <col min="9" max="16384" width="9.140625" style="3"/>
  </cols>
  <sheetData>
    <row r="1" spans="1:9" x14ac:dyDescent="0.2">
      <c r="A1" s="26" t="s">
        <v>13</v>
      </c>
      <c r="B1" s="77" t="s">
        <v>77</v>
      </c>
      <c r="C1" s="78"/>
      <c r="D1" s="26"/>
      <c r="E1" s="28"/>
      <c r="F1" s="28"/>
      <c r="G1" s="28"/>
      <c r="H1" s="28"/>
      <c r="I1" s="102"/>
    </row>
    <row r="2" spans="1:9" ht="7.5" customHeight="1" thickBot="1" x14ac:dyDescent="0.25">
      <c r="A2" s="28"/>
      <c r="B2" s="28"/>
      <c r="C2" s="28"/>
      <c r="D2" s="28"/>
      <c r="E2" s="28"/>
      <c r="F2" s="28"/>
      <c r="G2" s="28"/>
      <c r="H2" s="28"/>
    </row>
    <row r="3" spans="1:9" ht="15" customHeight="1" x14ac:dyDescent="0.2">
      <c r="A3" s="5" t="s">
        <v>69</v>
      </c>
      <c r="B3" s="6"/>
      <c r="C3" s="6"/>
      <c r="D3" s="6"/>
      <c r="E3" s="6"/>
      <c r="F3" s="6"/>
      <c r="G3" s="7"/>
    </row>
    <row r="4" spans="1:9" x14ac:dyDescent="0.2">
      <c r="A4" s="29" t="s">
        <v>0</v>
      </c>
      <c r="B4" s="4" t="s">
        <v>53</v>
      </c>
      <c r="C4" s="4" t="s">
        <v>55</v>
      </c>
      <c r="D4" s="4" t="s">
        <v>59</v>
      </c>
      <c r="E4" s="4" t="s">
        <v>60</v>
      </c>
      <c r="F4" s="4" t="s">
        <v>67</v>
      </c>
      <c r="G4" s="30" t="s">
        <v>1</v>
      </c>
    </row>
    <row r="5" spans="1:9" x14ac:dyDescent="0.2">
      <c r="A5" s="31" t="s">
        <v>2</v>
      </c>
      <c r="B5" s="32">
        <v>296</v>
      </c>
      <c r="C5" s="33">
        <v>287</v>
      </c>
      <c r="D5" s="32">
        <v>291</v>
      </c>
      <c r="E5" s="32">
        <v>333</v>
      </c>
      <c r="F5" s="32">
        <v>323</v>
      </c>
      <c r="G5" s="34">
        <f>AVERAGE(B5:F5)</f>
        <v>306</v>
      </c>
    </row>
    <row r="6" spans="1:9" x14ac:dyDescent="0.2">
      <c r="A6" s="31" t="s">
        <v>3</v>
      </c>
      <c r="B6" s="32">
        <v>39</v>
      </c>
      <c r="C6" s="33">
        <v>34</v>
      </c>
      <c r="D6" s="32">
        <v>27</v>
      </c>
      <c r="E6" s="32">
        <v>32</v>
      </c>
      <c r="F6" s="32">
        <v>58</v>
      </c>
      <c r="G6" s="34">
        <f>AVERAGE(B6:F6)</f>
        <v>38</v>
      </c>
    </row>
    <row r="7" spans="1:9" x14ac:dyDescent="0.2">
      <c r="A7" s="13" t="s">
        <v>4</v>
      </c>
      <c r="B7" s="14">
        <f>SUM(B5:B6)</f>
        <v>335</v>
      </c>
      <c r="C7" s="14">
        <f>SUM(C5:C6)</f>
        <v>321</v>
      </c>
      <c r="D7" s="14">
        <f>SUM(D5:D6)</f>
        <v>318</v>
      </c>
      <c r="E7" s="15">
        <f>SUM(E5:E6)</f>
        <v>365</v>
      </c>
      <c r="F7" s="15">
        <f>SUM(F5:F6)</f>
        <v>381</v>
      </c>
      <c r="G7" s="17">
        <f>AVERAGE(B7:F7)</f>
        <v>344</v>
      </c>
    </row>
    <row r="8" spans="1:9" ht="13.5" thickBot="1" x14ac:dyDescent="0.25">
      <c r="A8" s="35" t="s">
        <v>48</v>
      </c>
      <c r="B8" s="36">
        <f>B5+(B6/3)</f>
        <v>309</v>
      </c>
      <c r="C8" s="36">
        <f>C5+(C6/3)</f>
        <v>298.33333333333331</v>
      </c>
      <c r="D8" s="36">
        <f>D5+(D6/3)</f>
        <v>300</v>
      </c>
      <c r="E8" s="37">
        <f>E5+(E6/3)</f>
        <v>343.66666666666669</v>
      </c>
      <c r="F8" s="37">
        <f>F5+(F6/3)</f>
        <v>342.33333333333331</v>
      </c>
      <c r="G8" s="38">
        <f>AVERAGE(B8:F8)</f>
        <v>318.66666666666663</v>
      </c>
    </row>
    <row r="9" spans="1:9" ht="7.5" customHeight="1" thickBot="1" x14ac:dyDescent="0.25">
      <c r="A9" s="9"/>
      <c r="B9" s="10"/>
      <c r="C9" s="10"/>
      <c r="D9" s="10"/>
      <c r="E9" s="11"/>
      <c r="F9" s="11"/>
      <c r="G9" s="12"/>
    </row>
    <row r="10" spans="1:9" x14ac:dyDescent="0.2">
      <c r="A10" s="29" t="s">
        <v>5</v>
      </c>
      <c r="B10" s="4"/>
      <c r="C10" s="4"/>
      <c r="D10" s="4"/>
      <c r="E10" s="4"/>
      <c r="F10" s="4"/>
      <c r="G10" s="30"/>
    </row>
    <row r="11" spans="1:9" x14ac:dyDescent="0.2">
      <c r="A11" s="31" t="s">
        <v>2</v>
      </c>
      <c r="B11" s="32">
        <v>16</v>
      </c>
      <c r="C11" s="33">
        <v>11</v>
      </c>
      <c r="D11" s="32">
        <v>13</v>
      </c>
      <c r="E11" s="32">
        <v>23</v>
      </c>
      <c r="F11" s="32">
        <v>14</v>
      </c>
      <c r="G11" s="34">
        <f>AVERAGE(B11:F11)</f>
        <v>15.4</v>
      </c>
    </row>
    <row r="12" spans="1:9" x14ac:dyDescent="0.2">
      <c r="A12" s="31" t="s">
        <v>3</v>
      </c>
      <c r="B12" s="32">
        <v>14</v>
      </c>
      <c r="C12" s="33">
        <v>7</v>
      </c>
      <c r="D12" s="32">
        <v>8</v>
      </c>
      <c r="E12" s="32">
        <v>11</v>
      </c>
      <c r="F12" s="32">
        <v>17</v>
      </c>
      <c r="G12" s="34">
        <f>AVERAGE(B12:F12)</f>
        <v>11.4</v>
      </c>
    </row>
    <row r="13" spans="1:9" x14ac:dyDescent="0.2">
      <c r="A13" s="13" t="s">
        <v>4</v>
      </c>
      <c r="B13" s="14">
        <f>SUM(B11:B12)</f>
        <v>30</v>
      </c>
      <c r="C13" s="14">
        <f>SUM(C11:C12)</f>
        <v>18</v>
      </c>
      <c r="D13" s="14">
        <f>SUM(D11:D12)</f>
        <v>21</v>
      </c>
      <c r="E13" s="15">
        <f>SUM(E11:E12)</f>
        <v>34</v>
      </c>
      <c r="F13" s="14">
        <f>SUM(F11:F12)</f>
        <v>31</v>
      </c>
      <c r="G13" s="16">
        <f>AVERAGE(B13:F13)</f>
        <v>26.8</v>
      </c>
    </row>
    <row r="14" spans="1:9" ht="13.5" thickBot="1" x14ac:dyDescent="0.25">
      <c r="A14" s="39" t="s">
        <v>48</v>
      </c>
      <c r="B14" s="40">
        <f>B11+(B12/3)</f>
        <v>20.666666666666668</v>
      </c>
      <c r="C14" s="40">
        <f>C11+(C12/3)</f>
        <v>13.333333333333334</v>
      </c>
      <c r="D14" s="40">
        <f>D11+(D12/3)</f>
        <v>15.666666666666666</v>
      </c>
      <c r="E14" s="41">
        <f>E11+(E12/3)</f>
        <v>26.666666666666668</v>
      </c>
      <c r="F14" s="40">
        <f>F11+(F12/3)</f>
        <v>19.666666666666668</v>
      </c>
      <c r="G14" s="42">
        <f>AVERAGE(B14:F14)</f>
        <v>19.2</v>
      </c>
    </row>
    <row r="15" spans="1:9" ht="9.9499999999999993" customHeight="1" thickBot="1" x14ac:dyDescent="0.25"/>
    <row r="16" spans="1:9" x14ac:dyDescent="0.2">
      <c r="A16" s="18" t="s">
        <v>21</v>
      </c>
      <c r="B16" s="19"/>
      <c r="C16" s="19"/>
      <c r="D16" s="19"/>
      <c r="E16" s="19"/>
      <c r="F16" s="19"/>
      <c r="G16" s="20"/>
    </row>
    <row r="17" spans="1:8" x14ac:dyDescent="0.2">
      <c r="A17" s="29" t="s">
        <v>7</v>
      </c>
      <c r="B17" s="4" t="s">
        <v>53</v>
      </c>
      <c r="C17" s="4" t="s">
        <v>55</v>
      </c>
      <c r="D17" s="4" t="s">
        <v>59</v>
      </c>
      <c r="E17" s="4" t="s">
        <v>60</v>
      </c>
      <c r="F17" s="4" t="s">
        <v>67</v>
      </c>
      <c r="G17" s="30" t="s">
        <v>1</v>
      </c>
    </row>
    <row r="18" spans="1:8" x14ac:dyDescent="0.2">
      <c r="A18" s="43" t="s">
        <v>62</v>
      </c>
      <c r="B18" s="32">
        <v>41</v>
      </c>
      <c r="C18" s="32">
        <v>40</v>
      </c>
      <c r="D18" s="32">
        <v>42</v>
      </c>
      <c r="E18" s="32">
        <v>50</v>
      </c>
      <c r="F18" s="32">
        <v>47</v>
      </c>
      <c r="G18" s="45">
        <f>AVERAGE(B18:F18)</f>
        <v>44</v>
      </c>
    </row>
    <row r="19" spans="1:8" x14ac:dyDescent="0.2">
      <c r="A19" s="46" t="s">
        <v>63</v>
      </c>
      <c r="B19" s="47">
        <v>9</v>
      </c>
      <c r="C19" s="47">
        <v>4</v>
      </c>
      <c r="D19" s="47">
        <v>3</v>
      </c>
      <c r="E19" s="47">
        <v>9</v>
      </c>
      <c r="F19" s="47">
        <v>15</v>
      </c>
      <c r="G19" s="48">
        <f>AVERAGE(B19:F19)</f>
        <v>8</v>
      </c>
    </row>
    <row r="20" spans="1:8" ht="13.5" thickBot="1" x14ac:dyDescent="0.25">
      <c r="A20" s="49" t="s">
        <v>4</v>
      </c>
      <c r="B20" s="79">
        <f>B19+B18</f>
        <v>50</v>
      </c>
      <c r="C20" s="79">
        <f t="shared" ref="C20:F20" si="0">C19+C18</f>
        <v>44</v>
      </c>
      <c r="D20" s="79">
        <f t="shared" si="0"/>
        <v>45</v>
      </c>
      <c r="E20" s="79">
        <f t="shared" si="0"/>
        <v>59</v>
      </c>
      <c r="F20" s="79">
        <f t="shared" si="0"/>
        <v>62</v>
      </c>
      <c r="G20" s="51">
        <f>AVERAGE(B20:F20)</f>
        <v>52</v>
      </c>
    </row>
    <row r="21" spans="1:8" ht="9.9499999999999993" customHeight="1" thickBot="1" x14ac:dyDescent="0.25"/>
    <row r="22" spans="1:8" x14ac:dyDescent="0.2">
      <c r="A22" s="18" t="s">
        <v>22</v>
      </c>
      <c r="B22" s="19"/>
      <c r="C22" s="19"/>
      <c r="D22" s="19"/>
      <c r="E22" s="19"/>
      <c r="F22" s="19"/>
      <c r="G22" s="20"/>
    </row>
    <row r="23" spans="1:8" x14ac:dyDescent="0.2">
      <c r="A23" s="52"/>
      <c r="B23" s="4" t="s">
        <v>53</v>
      </c>
      <c r="C23" s="4" t="s">
        <v>55</v>
      </c>
      <c r="D23" s="4" t="s">
        <v>59</v>
      </c>
      <c r="E23" s="4" t="s">
        <v>60</v>
      </c>
      <c r="F23" s="4" t="s">
        <v>67</v>
      </c>
      <c r="G23" s="30" t="s">
        <v>1</v>
      </c>
    </row>
    <row r="24" spans="1:8" x14ac:dyDescent="0.2">
      <c r="A24" s="53" t="s">
        <v>65</v>
      </c>
      <c r="B24" s="54">
        <f>B7/B18</f>
        <v>8.1707317073170724</v>
      </c>
      <c r="C24" s="54">
        <f>C7/C18</f>
        <v>8.0250000000000004</v>
      </c>
      <c r="D24" s="54">
        <f>D7/D18</f>
        <v>7.5714285714285712</v>
      </c>
      <c r="E24" s="54">
        <f>E7/E18</f>
        <v>7.3</v>
      </c>
      <c r="F24" s="54">
        <f>F7/F18</f>
        <v>8.1063829787234045</v>
      </c>
      <c r="G24" s="45">
        <f>AVERAGE(B24:F24)</f>
        <v>7.83470865149381</v>
      </c>
    </row>
    <row r="25" spans="1:8" ht="13.5" thickBot="1" x14ac:dyDescent="0.25">
      <c r="A25" s="55" t="s">
        <v>64</v>
      </c>
      <c r="B25" s="56">
        <f>B13/B19</f>
        <v>3.3333333333333335</v>
      </c>
      <c r="C25" s="56">
        <f>C13/C19</f>
        <v>4.5</v>
      </c>
      <c r="D25" s="56">
        <f>D13/D19</f>
        <v>7</v>
      </c>
      <c r="E25" s="56">
        <f>E13/E19</f>
        <v>3.7777777777777777</v>
      </c>
      <c r="F25" s="56">
        <f>F13/F19</f>
        <v>2.0666666666666669</v>
      </c>
      <c r="G25" s="57">
        <f>AVERAGE(B25:F25)</f>
        <v>4.1355555555555554</v>
      </c>
    </row>
    <row r="26" spans="1:8" ht="9.9499999999999993" customHeight="1" thickBot="1" x14ac:dyDescent="0.25">
      <c r="A26" s="58"/>
      <c r="B26" s="59"/>
      <c r="C26" s="59"/>
      <c r="D26" s="59"/>
      <c r="E26" s="59"/>
      <c r="F26" s="59"/>
      <c r="G26" s="59"/>
      <c r="H26" s="59"/>
    </row>
    <row r="27" spans="1:8" x14ac:dyDescent="0.2">
      <c r="A27" s="18" t="s">
        <v>68</v>
      </c>
      <c r="B27" s="19"/>
      <c r="C27" s="19"/>
      <c r="D27" s="19"/>
      <c r="E27" s="19"/>
      <c r="F27" s="19"/>
      <c r="G27" s="20"/>
    </row>
    <row r="28" spans="1:8" x14ac:dyDescent="0.2">
      <c r="A28" s="29" t="s">
        <v>7</v>
      </c>
      <c r="B28" s="4" t="s">
        <v>53</v>
      </c>
      <c r="C28" s="4" t="s">
        <v>55</v>
      </c>
      <c r="D28" s="4" t="s">
        <v>59</v>
      </c>
      <c r="E28" s="4" t="s">
        <v>60</v>
      </c>
      <c r="F28" s="4" t="s">
        <v>67</v>
      </c>
      <c r="G28" s="30" t="s">
        <v>1</v>
      </c>
    </row>
    <row r="29" spans="1:8" x14ac:dyDescent="0.2">
      <c r="A29" s="60" t="s">
        <v>66</v>
      </c>
      <c r="B29" s="61">
        <v>6776</v>
      </c>
      <c r="C29" s="61">
        <v>7399</v>
      </c>
      <c r="D29" s="61">
        <v>7911</v>
      </c>
      <c r="E29" s="61">
        <v>8405</v>
      </c>
      <c r="F29" s="61">
        <v>8056</v>
      </c>
      <c r="G29" s="62">
        <f>AVERAGE(B29:F29)</f>
        <v>7709.4</v>
      </c>
    </row>
    <row r="30" spans="1:8" x14ac:dyDescent="0.2">
      <c r="A30" s="60" t="s">
        <v>8</v>
      </c>
      <c r="B30" s="61">
        <v>363</v>
      </c>
      <c r="C30" s="61">
        <v>291</v>
      </c>
      <c r="D30" s="61">
        <v>399</v>
      </c>
      <c r="E30" s="61">
        <v>585</v>
      </c>
      <c r="F30" s="61">
        <v>441</v>
      </c>
      <c r="G30" s="62">
        <f>AVERAGE(B30:F30)</f>
        <v>415.8</v>
      </c>
    </row>
    <row r="31" spans="1:8" ht="13.5" thickBot="1" x14ac:dyDescent="0.25">
      <c r="A31" s="22" t="s">
        <v>4</v>
      </c>
      <c r="B31" s="23">
        <f>SUM(B29:B30)</f>
        <v>7139</v>
      </c>
      <c r="C31" s="23">
        <f>SUM(C29:C30)</f>
        <v>7690</v>
      </c>
      <c r="D31" s="23">
        <f>SUM(D29:D30)</f>
        <v>8310</v>
      </c>
      <c r="E31" s="23">
        <f>SUM(E29:E30)</f>
        <v>8990</v>
      </c>
      <c r="F31" s="23">
        <f>SUM(F29:F30)</f>
        <v>8497</v>
      </c>
      <c r="G31" s="24">
        <f>AVERAGE(B31:F31)</f>
        <v>8125.2</v>
      </c>
    </row>
    <row r="32" spans="1:8" ht="9.9499999999999993" customHeight="1" thickBot="1" x14ac:dyDescent="0.25"/>
    <row r="33" spans="1:8" x14ac:dyDescent="0.2">
      <c r="A33" s="18" t="s">
        <v>70</v>
      </c>
      <c r="B33" s="19"/>
      <c r="C33" s="19"/>
      <c r="D33" s="19"/>
      <c r="E33" s="19"/>
      <c r="F33" s="19"/>
      <c r="G33" s="20"/>
    </row>
    <row r="34" spans="1:8" x14ac:dyDescent="0.2">
      <c r="A34" s="29" t="s">
        <v>7</v>
      </c>
      <c r="B34" s="4" t="s">
        <v>53</v>
      </c>
      <c r="C34" s="4" t="s">
        <v>55</v>
      </c>
      <c r="D34" s="4" t="s">
        <v>59</v>
      </c>
      <c r="E34" s="4" t="s">
        <v>60</v>
      </c>
      <c r="F34" s="4" t="s">
        <v>67</v>
      </c>
      <c r="G34" s="30" t="s">
        <v>1</v>
      </c>
    </row>
    <row r="35" spans="1:8" x14ac:dyDescent="0.2">
      <c r="A35" s="60" t="s">
        <v>41</v>
      </c>
      <c r="B35" s="32">
        <v>24.7</v>
      </c>
      <c r="C35" s="32">
        <v>22.9</v>
      </c>
      <c r="D35" s="63">
        <v>22.9</v>
      </c>
      <c r="E35" s="63">
        <v>22.9</v>
      </c>
      <c r="F35" s="63">
        <v>21.1</v>
      </c>
      <c r="G35" s="45">
        <f>AVERAGE(B35:F35)</f>
        <v>22.9</v>
      </c>
    </row>
    <row r="36" spans="1:8" ht="13.5" thickBot="1" x14ac:dyDescent="0.25">
      <c r="A36" s="64" t="s">
        <v>8</v>
      </c>
      <c r="B36" s="65">
        <v>8.5</v>
      </c>
      <c r="C36" s="65">
        <v>10.199999999999999</v>
      </c>
      <c r="D36" s="65">
        <v>9.6</v>
      </c>
      <c r="E36" s="65">
        <v>11.8</v>
      </c>
      <c r="F36" s="65">
        <v>11.2</v>
      </c>
      <c r="G36" s="57">
        <f>AVERAGE(B36:F36)</f>
        <v>10.26</v>
      </c>
    </row>
    <row r="37" spans="1:8" ht="9.9499999999999993" customHeight="1" thickBot="1" x14ac:dyDescent="0.25">
      <c r="A37" s="66"/>
    </row>
    <row r="38" spans="1:8" x14ac:dyDescent="0.2">
      <c r="A38" s="18" t="s">
        <v>73</v>
      </c>
      <c r="B38" s="19"/>
      <c r="C38" s="19"/>
      <c r="D38" s="19"/>
      <c r="E38" s="19"/>
      <c r="F38" s="19"/>
      <c r="G38" s="20"/>
    </row>
    <row r="39" spans="1:8" x14ac:dyDescent="0.2">
      <c r="A39" s="29" t="s">
        <v>9</v>
      </c>
      <c r="B39" s="4" t="s">
        <v>53</v>
      </c>
      <c r="C39" s="4" t="s">
        <v>55</v>
      </c>
      <c r="D39" s="4" t="s">
        <v>59</v>
      </c>
      <c r="E39" s="4" t="s">
        <v>60</v>
      </c>
      <c r="F39" s="4" t="s">
        <v>67</v>
      </c>
      <c r="G39" s="30" t="s">
        <v>1</v>
      </c>
    </row>
    <row r="40" spans="1:8" x14ac:dyDescent="0.2">
      <c r="A40" s="60" t="s">
        <v>2</v>
      </c>
      <c r="B40" s="32">
        <v>9</v>
      </c>
      <c r="C40" s="32">
        <v>9</v>
      </c>
      <c r="D40" s="32">
        <v>8</v>
      </c>
      <c r="E40" s="32">
        <v>10</v>
      </c>
      <c r="F40" s="32">
        <v>11</v>
      </c>
      <c r="G40" s="45">
        <f>AVERAGE(B40:F40)</f>
        <v>9.4</v>
      </c>
    </row>
    <row r="41" spans="1:8" x14ac:dyDescent="0.2">
      <c r="A41" s="60" t="s">
        <v>3</v>
      </c>
      <c r="B41" s="32">
        <v>7</v>
      </c>
      <c r="C41" s="32">
        <v>6</v>
      </c>
      <c r="D41" s="32">
        <v>5</v>
      </c>
      <c r="E41" s="32">
        <v>5</v>
      </c>
      <c r="F41" s="32">
        <v>9</v>
      </c>
      <c r="G41" s="45">
        <f>AVERAGE(B41:F41)</f>
        <v>6.4</v>
      </c>
    </row>
    <row r="42" spans="1:8" x14ac:dyDescent="0.2">
      <c r="A42" s="13" t="s">
        <v>4</v>
      </c>
      <c r="B42" s="14">
        <f>SUM(B40:B41)</f>
        <v>16</v>
      </c>
      <c r="C42" s="14">
        <f>SUM(C40:C41)</f>
        <v>15</v>
      </c>
      <c r="D42" s="14">
        <f>SUM(D40:D41)</f>
        <v>13</v>
      </c>
      <c r="E42" s="14">
        <f>SUM(E40:E41)</f>
        <v>15</v>
      </c>
      <c r="F42" s="14">
        <f>SUM(F40:F41)</f>
        <v>20</v>
      </c>
      <c r="G42" s="17">
        <f>AVERAGE(B42:F42)</f>
        <v>15.8</v>
      </c>
    </row>
    <row r="43" spans="1:8" ht="13.5" thickBot="1" x14ac:dyDescent="0.25">
      <c r="A43" s="39" t="s">
        <v>49</v>
      </c>
      <c r="B43" s="40">
        <f>B40+(B41/3)</f>
        <v>11.333333333333334</v>
      </c>
      <c r="C43" s="40">
        <f>C40+(C41/3)</f>
        <v>11</v>
      </c>
      <c r="D43" s="40">
        <f>D40+(D41/3)</f>
        <v>9.6666666666666661</v>
      </c>
      <c r="E43" s="40">
        <f>E40+(E41/3)</f>
        <v>11.666666666666666</v>
      </c>
      <c r="F43" s="40">
        <f>F40+(F41/3)</f>
        <v>14</v>
      </c>
      <c r="G43" s="67">
        <f>AVERAGE(B43:F43)</f>
        <v>11.533333333333333</v>
      </c>
    </row>
    <row r="44" spans="1:8" ht="9.9499999999999993" customHeight="1" thickBot="1" x14ac:dyDescent="0.25">
      <c r="A44" s="58"/>
    </row>
    <row r="45" spans="1:8" x14ac:dyDescent="0.2">
      <c r="A45" s="18" t="s">
        <v>20</v>
      </c>
      <c r="B45" s="19"/>
      <c r="C45" s="19"/>
      <c r="D45" s="19"/>
      <c r="E45" s="19"/>
      <c r="F45" s="19"/>
      <c r="G45" s="20"/>
    </row>
    <row r="46" spans="1:8" x14ac:dyDescent="0.2">
      <c r="A46" s="68"/>
      <c r="B46" s="4" t="s">
        <v>53</v>
      </c>
      <c r="C46" s="4" t="s">
        <v>55</v>
      </c>
      <c r="D46" s="4" t="s">
        <v>59</v>
      </c>
      <c r="E46" s="4" t="s">
        <v>60</v>
      </c>
      <c r="F46" s="4" t="s">
        <v>67</v>
      </c>
      <c r="G46" s="30" t="s">
        <v>1</v>
      </c>
    </row>
    <row r="47" spans="1:8" ht="13.5" thickBot="1" x14ac:dyDescent="0.25">
      <c r="A47" s="55" t="s">
        <v>6</v>
      </c>
      <c r="B47" s="69">
        <f>(B8+B14)/B43</f>
        <v>29.088235294117649</v>
      </c>
      <c r="C47" s="56">
        <f>(C8+C14)/C43</f>
        <v>28.333333333333329</v>
      </c>
      <c r="D47" s="56">
        <f>(D8+D14)/D43</f>
        <v>32.65517241379311</v>
      </c>
      <c r="E47" s="56">
        <f>(E8+E14)/E43</f>
        <v>31.742857142857147</v>
      </c>
      <c r="F47" s="56">
        <f>(F8+F14)/F43</f>
        <v>25.857142857142858</v>
      </c>
      <c r="G47" s="57">
        <f>AVERAGE(B47:F47)</f>
        <v>29.53534820824882</v>
      </c>
    </row>
    <row r="48" spans="1:8" ht="9.9499999999999993" customHeight="1" thickBot="1" x14ac:dyDescent="0.25">
      <c r="B48" s="58"/>
      <c r="C48" s="58"/>
      <c r="D48" s="58"/>
      <c r="E48" s="58"/>
      <c r="G48" s="58"/>
      <c r="H48" s="58"/>
    </row>
    <row r="49" spans="1:8" x14ac:dyDescent="0.2">
      <c r="A49" s="18" t="s">
        <v>58</v>
      </c>
      <c r="B49" s="19"/>
      <c r="C49" s="19"/>
      <c r="D49" s="19"/>
      <c r="E49" s="19"/>
      <c r="F49" s="19"/>
      <c r="G49" s="20"/>
    </row>
    <row r="50" spans="1:8" x14ac:dyDescent="0.2">
      <c r="A50" s="68"/>
      <c r="B50" s="4" t="s">
        <v>53</v>
      </c>
      <c r="C50" s="4" t="s">
        <v>55</v>
      </c>
      <c r="D50" s="4" t="s">
        <v>59</v>
      </c>
      <c r="E50" s="4" t="s">
        <v>60</v>
      </c>
      <c r="F50" s="4" t="s">
        <v>67</v>
      </c>
      <c r="G50" s="30" t="s">
        <v>1</v>
      </c>
    </row>
    <row r="51" spans="1:8" ht="13.5" thickBot="1" x14ac:dyDescent="0.25">
      <c r="A51" s="55" t="s">
        <v>10</v>
      </c>
      <c r="B51" s="69">
        <f>B31/B43</f>
        <v>629.91176470588232</v>
      </c>
      <c r="C51" s="56">
        <f>C31/C43</f>
        <v>699.09090909090912</v>
      </c>
      <c r="D51" s="56">
        <f>D31/D43</f>
        <v>859.65517241379314</v>
      </c>
      <c r="E51" s="56">
        <f>E31/E43</f>
        <v>770.57142857142856</v>
      </c>
      <c r="F51" s="56">
        <f>F31/F43</f>
        <v>606.92857142857144</v>
      </c>
      <c r="G51" s="57">
        <f>AVERAGE(B51:F51)</f>
        <v>713.23156924211685</v>
      </c>
    </row>
    <row r="52" spans="1:8" ht="9.9499999999999993" customHeight="1" thickBot="1" x14ac:dyDescent="0.25">
      <c r="B52" s="58"/>
      <c r="C52" s="58"/>
      <c r="D52" s="58"/>
      <c r="E52" s="58"/>
      <c r="F52" s="58"/>
      <c r="G52" s="58"/>
      <c r="H52" s="58"/>
    </row>
    <row r="53" spans="1:8" x14ac:dyDescent="0.2">
      <c r="A53" s="18" t="s">
        <v>71</v>
      </c>
      <c r="B53" s="19"/>
      <c r="C53" s="19"/>
      <c r="D53" s="19"/>
      <c r="E53" s="19"/>
      <c r="F53" s="19"/>
      <c r="G53" s="20"/>
    </row>
    <row r="54" spans="1:8" x14ac:dyDescent="0.2">
      <c r="A54" s="68"/>
      <c r="B54" s="4" t="s">
        <v>53</v>
      </c>
      <c r="C54" s="4" t="s">
        <v>55</v>
      </c>
      <c r="D54" s="4" t="s">
        <v>59</v>
      </c>
      <c r="E54" s="4" t="s">
        <v>60</v>
      </c>
      <c r="F54" s="4" t="s">
        <v>67</v>
      </c>
      <c r="G54" s="30" t="s">
        <v>1</v>
      </c>
    </row>
    <row r="55" spans="1:8" ht="13.5" thickBot="1" x14ac:dyDescent="0.25">
      <c r="A55" s="55" t="s">
        <v>11</v>
      </c>
      <c r="B55" s="73">
        <v>845538</v>
      </c>
      <c r="C55" s="73">
        <f>940921.44+8050.24</f>
        <v>948971.67999999993</v>
      </c>
      <c r="D55" s="73">
        <f>1016418.59+21403.8</f>
        <v>1037822.39</v>
      </c>
      <c r="E55" s="73">
        <v>1142865</v>
      </c>
      <c r="F55" s="73">
        <v>1169872</v>
      </c>
      <c r="G55" s="74">
        <f>AVERAGE(B55:F55)</f>
        <v>1029013.814</v>
      </c>
    </row>
    <row r="56" spans="1:8" ht="9.9499999999999993" customHeight="1" thickBot="1" x14ac:dyDescent="0.25">
      <c r="B56" s="58"/>
      <c r="C56" s="58"/>
      <c r="D56" s="58"/>
      <c r="E56" s="58"/>
      <c r="F56" s="58"/>
      <c r="G56" s="58"/>
      <c r="H56" s="58"/>
    </row>
    <row r="57" spans="1:8" x14ac:dyDescent="0.2">
      <c r="A57" s="18" t="s">
        <v>72</v>
      </c>
      <c r="B57" s="19"/>
      <c r="C57" s="19"/>
      <c r="D57" s="19"/>
      <c r="E57" s="19"/>
      <c r="F57" s="19"/>
      <c r="G57" s="20"/>
    </row>
    <row r="58" spans="1:8" x14ac:dyDescent="0.2">
      <c r="A58" s="68"/>
      <c r="B58" s="4" t="s">
        <v>53</v>
      </c>
      <c r="C58" s="4" t="s">
        <v>55</v>
      </c>
      <c r="D58" s="4" t="s">
        <v>59</v>
      </c>
      <c r="E58" s="4" t="s">
        <v>60</v>
      </c>
      <c r="F58" s="4" t="s">
        <v>67</v>
      </c>
      <c r="G58" s="30" t="s">
        <v>1</v>
      </c>
    </row>
    <row r="59" spans="1:8" ht="13.5" thickBot="1" x14ac:dyDescent="0.25">
      <c r="A59" s="55" t="s">
        <v>12</v>
      </c>
      <c r="B59" s="75">
        <f>B55/B31</f>
        <v>118.43927720969323</v>
      </c>
      <c r="C59" s="76">
        <f>C55/C31</f>
        <v>123.40333940182053</v>
      </c>
      <c r="D59" s="76">
        <f>D55/D31</f>
        <v>124.88837424789411</v>
      </c>
      <c r="E59" s="76">
        <f>E55/E31</f>
        <v>127.12625139043382</v>
      </c>
      <c r="F59" s="76">
        <f>F55/F31</f>
        <v>137.68059315052372</v>
      </c>
      <c r="G59" s="74">
        <f>AVERAGE(B59:F59)</f>
        <v>126.30756708007308</v>
      </c>
    </row>
    <row r="60" spans="1:8" ht="13.5" thickBot="1" x14ac:dyDescent="0.25"/>
    <row r="61" spans="1:8" x14ac:dyDescent="0.2">
      <c r="A61" s="18" t="s">
        <v>74</v>
      </c>
      <c r="B61" s="19"/>
      <c r="C61" s="19"/>
      <c r="D61" s="19"/>
      <c r="E61" s="19"/>
      <c r="F61" s="19"/>
      <c r="G61" s="20"/>
    </row>
    <row r="62" spans="1:8" x14ac:dyDescent="0.2">
      <c r="A62" s="68"/>
      <c r="B62" s="4" t="s">
        <v>53</v>
      </c>
      <c r="C62" s="4" t="s">
        <v>55</v>
      </c>
      <c r="D62" s="4" t="s">
        <v>59</v>
      </c>
      <c r="E62" s="4" t="s">
        <v>60</v>
      </c>
      <c r="F62" s="4" t="s">
        <v>67</v>
      </c>
      <c r="G62" s="30" t="s">
        <v>1</v>
      </c>
    </row>
    <row r="63" spans="1:8" ht="13.5" thickBot="1" x14ac:dyDescent="0.25">
      <c r="A63" s="55" t="s">
        <v>12</v>
      </c>
      <c r="B63" s="75">
        <f>B55/B43</f>
        <v>74606.294117647049</v>
      </c>
      <c r="C63" s="75">
        <f t="shared" ref="C63:F63" si="1">C55/C43</f>
        <v>86270.152727272725</v>
      </c>
      <c r="D63" s="75">
        <f t="shared" si="1"/>
        <v>107360.93689655174</v>
      </c>
      <c r="E63" s="75">
        <f t="shared" si="1"/>
        <v>97959.857142857145</v>
      </c>
      <c r="F63" s="75">
        <f t="shared" si="1"/>
        <v>83562.28571428571</v>
      </c>
      <c r="G63" s="74">
        <f>AVERAGE(B63:F63)</f>
        <v>89951.905319722879</v>
      </c>
    </row>
  </sheetData>
  <phoneticPr fontId="2" type="noConversion"/>
  <printOptions horizontalCentered="1" verticalCentered="1"/>
  <pageMargins left="0.75" right="0.75" top="0.5" bottom="0.5" header="0.5" footer="0.5"/>
  <pageSetup orientation="portrait" r:id="rId1"/>
  <headerFooter alignWithMargins="0">
    <oddFooter xml:space="preserve">&amp;R&amp;8Prepared by:  OIRPA (np)
&amp;F  &amp;A
</oddFooter>
  </headerFooter>
  <rowBreaks count="1" manualBreakCount="1">
    <brk id="2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59</vt:i4>
      </vt:variant>
    </vt:vector>
  </HeadingPairs>
  <TitlesOfParts>
    <vt:vector size="89" baseType="lpstr">
      <vt:lpstr>READ ME FIRST</vt:lpstr>
      <vt:lpstr>ACBL</vt:lpstr>
      <vt:lpstr>CIS</vt:lpstr>
      <vt:lpstr>ECFI</vt:lpstr>
      <vt:lpstr>MGMK</vt:lpstr>
      <vt:lpstr>COUNED</vt:lpstr>
      <vt:lpstr>EED</vt:lpstr>
      <vt:lpstr>HES</vt:lpstr>
      <vt:lpstr>HPER</vt:lpstr>
      <vt:lpstr>SECED</vt:lpstr>
      <vt:lpstr>AR</vt:lpstr>
      <vt:lpstr>BI</vt:lpstr>
      <vt:lpstr>CH</vt:lpstr>
      <vt:lpstr>CJ</vt:lpstr>
      <vt:lpstr>COM</vt:lpstr>
      <vt:lpstr>EIC</vt:lpstr>
      <vt:lpstr>EN</vt:lpstr>
      <vt:lpstr>FL</vt:lpstr>
      <vt:lpstr>GE</vt:lpstr>
      <vt:lpstr>HI</vt:lpstr>
      <vt:lpstr>MA</vt:lpstr>
      <vt:lpstr>MU</vt:lpstr>
      <vt:lpstr>PH</vt:lpstr>
      <vt:lpstr>PY</vt:lpstr>
      <vt:lpstr>SO</vt:lpstr>
      <vt:lpstr>SW</vt:lpstr>
      <vt:lpstr>IDS</vt:lpstr>
      <vt:lpstr>NU</vt:lpstr>
      <vt:lpstr>NEC</vt:lpstr>
      <vt:lpstr>Overall Summary</vt:lpstr>
      <vt:lpstr>ACBL!Print_Area</vt:lpstr>
      <vt:lpstr>AR!Print_Area</vt:lpstr>
      <vt:lpstr>BI!Print_Area</vt:lpstr>
      <vt:lpstr>CH!Print_Area</vt:lpstr>
      <vt:lpstr>CIS!Print_Area</vt:lpstr>
      <vt:lpstr>CJ!Print_Area</vt:lpstr>
      <vt:lpstr>COM!Print_Area</vt:lpstr>
      <vt:lpstr>COUNED!Print_Area</vt:lpstr>
      <vt:lpstr>ECFI!Print_Area</vt:lpstr>
      <vt:lpstr>EED!Print_Area</vt:lpstr>
      <vt:lpstr>EIC!Print_Area</vt:lpstr>
      <vt:lpstr>EN!Print_Area</vt:lpstr>
      <vt:lpstr>FL!Print_Area</vt:lpstr>
      <vt:lpstr>GE!Print_Area</vt:lpstr>
      <vt:lpstr>HES!Print_Area</vt:lpstr>
      <vt:lpstr>HI!Print_Area</vt:lpstr>
      <vt:lpstr>HPER!Print_Area</vt:lpstr>
      <vt:lpstr>IDS!Print_Area</vt:lpstr>
      <vt:lpstr>MA!Print_Area</vt:lpstr>
      <vt:lpstr>MGMK!Print_Area</vt:lpstr>
      <vt:lpstr>MU!Print_Area</vt:lpstr>
      <vt:lpstr>NEC!Print_Area</vt:lpstr>
      <vt:lpstr>NU!Print_Area</vt:lpstr>
      <vt:lpstr>'Overall Summary'!Print_Area</vt:lpstr>
      <vt:lpstr>PH!Print_Area</vt:lpstr>
      <vt:lpstr>PY!Print_Area</vt:lpstr>
      <vt:lpstr>'READ ME FIRST'!Print_Area</vt:lpstr>
      <vt:lpstr>SECED!Print_Area</vt:lpstr>
      <vt:lpstr>SO!Print_Area</vt:lpstr>
      <vt:lpstr>SW!Print_Area</vt:lpstr>
      <vt:lpstr>ACBL!Print_Titles</vt:lpstr>
      <vt:lpstr>AR!Print_Titles</vt:lpstr>
      <vt:lpstr>BI!Print_Titles</vt:lpstr>
      <vt:lpstr>CH!Print_Titles</vt:lpstr>
      <vt:lpstr>CIS!Print_Titles</vt:lpstr>
      <vt:lpstr>CJ!Print_Titles</vt:lpstr>
      <vt:lpstr>COM!Print_Titles</vt:lpstr>
      <vt:lpstr>COUNED!Print_Titles</vt:lpstr>
      <vt:lpstr>ECFI!Print_Titles</vt:lpstr>
      <vt:lpstr>EED!Print_Titles</vt:lpstr>
      <vt:lpstr>EIC!Print_Titles</vt:lpstr>
      <vt:lpstr>EN!Print_Titles</vt:lpstr>
      <vt:lpstr>FL!Print_Titles</vt:lpstr>
      <vt:lpstr>GE!Print_Titles</vt:lpstr>
      <vt:lpstr>HES!Print_Titles</vt:lpstr>
      <vt:lpstr>HI!Print_Titles</vt:lpstr>
      <vt:lpstr>HPER!Print_Titles</vt:lpstr>
      <vt:lpstr>IDS!Print_Titles</vt:lpstr>
      <vt:lpstr>MA!Print_Titles</vt:lpstr>
      <vt:lpstr>MGMK!Print_Titles</vt:lpstr>
      <vt:lpstr>MU!Print_Titles</vt:lpstr>
      <vt:lpstr>NEC!Print_Titles</vt:lpstr>
      <vt:lpstr>NU!Print_Titles</vt:lpstr>
      <vt:lpstr>'Overall Summary'!Print_Titles</vt:lpstr>
      <vt:lpstr>PH!Print_Titles</vt:lpstr>
      <vt:lpstr>PY!Print_Titles</vt:lpstr>
      <vt:lpstr>SECED!Print_Titles</vt:lpstr>
      <vt:lpstr>SO!Print_Titles</vt:lpstr>
      <vt:lpstr>SW!Print_Titles</vt:lpstr>
    </vt:vector>
  </TitlesOfParts>
  <Company>University of West Georgia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IRP</dc:creator>
  <cp:lastModifiedBy>Information Technology Services</cp:lastModifiedBy>
  <cp:lastPrinted>2015-06-15T19:03:08Z</cp:lastPrinted>
  <dcterms:created xsi:type="dcterms:W3CDTF">2006-10-04T20:02:19Z</dcterms:created>
  <dcterms:modified xsi:type="dcterms:W3CDTF">2016-03-01T22:00:14Z</dcterms:modified>
</cp:coreProperties>
</file>